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 O. Gonçalves\Desktop\JEAN\KG Engenharia\Serviços\Serviço - CRM Acompanhamento obra\Atualização do projeto\ENTREGA\"/>
    </mc:Choice>
  </mc:AlternateContent>
  <xr:revisionPtr revIDLastSave="0" documentId="13_ncr:1_{35A0BFE7-FB61-478D-BABD-72600A10FCD5}" xr6:coauthVersionLast="47" xr6:coauthVersionMax="47" xr10:uidLastSave="{00000000-0000-0000-0000-000000000000}"/>
  <bookViews>
    <workbookView xWindow="-108" yWindow="-108" windowWidth="23256" windowHeight="12576" tabRatio="691" xr2:uid="{5FF0EF76-D111-4E9F-8794-1FDEE9D7E6EA}"/>
  </bookViews>
  <sheets>
    <sheet name="PLANILHA ORÇAMENTÁRIA" sheetId="2" r:id="rId1"/>
    <sheet name="CÁLCULO BDI" sheetId="6" r:id="rId2"/>
    <sheet name="CRONOGRAMA" sheetId="8" r:id="rId3"/>
    <sheet name="ESTRUTURA ORÇ. COMPLEMENTAR" sheetId="5" r:id="rId4"/>
    <sheet name="COTAÇÕES P. ORÇ COMPLEMENTAR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8" l="1"/>
  <c r="G38" i="2"/>
  <c r="H38" i="2" s="1"/>
  <c r="E39" i="2"/>
  <c r="E12" i="2"/>
  <c r="F2" i="8"/>
  <c r="F3" i="8"/>
  <c r="E3" i="8"/>
  <c r="E33" i="2"/>
  <c r="E28" i="2"/>
  <c r="E23" i="2" l="1"/>
  <c r="E22" i="2"/>
  <c r="F16" i="8"/>
  <c r="E16" i="8"/>
  <c r="F6" i="8"/>
  <c r="E6" i="8"/>
  <c r="D24" i="7"/>
  <c r="D25" i="7"/>
  <c r="D21" i="7"/>
  <c r="D20" i="7"/>
  <c r="D19" i="7"/>
  <c r="D11" i="7"/>
  <c r="D10" i="7"/>
  <c r="D9" i="7"/>
  <c r="E30" i="2"/>
  <c r="E29" i="2" l="1"/>
  <c r="C8" i="6" l="1"/>
  <c r="H5" i="2" l="1"/>
  <c r="G10" i="2" s="1"/>
  <c r="H10" i="2" s="1"/>
  <c r="G31" i="2" l="1"/>
  <c r="H31" i="2" s="1"/>
  <c r="G30" i="2"/>
  <c r="H30" i="2" s="1"/>
  <c r="G29" i="2"/>
  <c r="H29" i="2" s="1"/>
  <c r="G11" i="2"/>
  <c r="H11" i="2" s="1"/>
  <c r="C4" i="8" s="1"/>
  <c r="G9" i="2"/>
  <c r="H9" i="2" s="1"/>
  <c r="G12" i="2"/>
  <c r="H12" i="2" s="1"/>
  <c r="C5" i="8" s="1"/>
  <c r="G33" i="2"/>
  <c r="H33" i="2" s="1"/>
  <c r="G22" i="2"/>
  <c r="H22" i="2" s="1"/>
  <c r="G34" i="2"/>
  <c r="H34" i="2" s="1"/>
  <c r="G18" i="2"/>
  <c r="H18" i="2" s="1"/>
  <c r="G35" i="2"/>
  <c r="H35" i="2" s="1"/>
  <c r="G17" i="2"/>
  <c r="H17" i="2" s="1"/>
  <c r="G27" i="2"/>
  <c r="H27" i="2" s="1"/>
  <c r="G28" i="2"/>
  <c r="H28" i="2" s="1"/>
  <c r="G19" i="2"/>
  <c r="H19" i="2" s="1"/>
  <c r="G37" i="2"/>
  <c r="H37" i="2" s="1"/>
  <c r="G23" i="2"/>
  <c r="H23" i="2" s="1"/>
  <c r="G20" i="2"/>
  <c r="H20" i="2" s="1"/>
  <c r="G21" i="2"/>
  <c r="H21" i="2" s="1"/>
  <c r="G39" i="2"/>
  <c r="H39" i="2" s="1"/>
  <c r="C7" i="8" s="1"/>
  <c r="G25" i="2"/>
  <c r="H25" i="2" s="1"/>
  <c r="G36" i="2"/>
  <c r="H36" i="2" s="1"/>
  <c r="G24" i="2"/>
  <c r="H24" i="2" s="1"/>
  <c r="G26" i="2"/>
  <c r="H26" i="2" s="1"/>
  <c r="G32" i="2"/>
  <c r="H32" i="2" s="1"/>
  <c r="C13" i="8" l="1"/>
  <c r="C10" i="8"/>
  <c r="C14" i="8"/>
  <c r="C9" i="8"/>
  <c r="C8" i="8"/>
  <c r="C12" i="8"/>
  <c r="C17" i="8"/>
  <c r="C16" i="8" s="1"/>
  <c r="C3" i="8"/>
  <c r="C15" i="8"/>
  <c r="H13" i="2"/>
  <c r="H40" i="2"/>
  <c r="C6" i="8" l="1"/>
  <c r="H41" i="2"/>
  <c r="C2" i="8" s="1"/>
</calcChain>
</file>

<file path=xl/sharedStrings.xml><?xml version="1.0" encoding="utf-8"?>
<sst xmlns="http://schemas.openxmlformats.org/spreadsheetml/2006/main" count="368" uniqueCount="206">
  <si>
    <t>L</t>
  </si>
  <si>
    <t>BDI</t>
  </si>
  <si>
    <t>Não tem na Sinapi</t>
  </si>
  <si>
    <t>2.4</t>
  </si>
  <si>
    <t>ORÇAMENTO DE RECUPERAÇÃO DA IMPERMEABILIZAÇÃO DA CÚPULA - CRM/PR</t>
  </si>
  <si>
    <t>Rua Victório viezzer, 84 - Vista Alegre, Curitiba/PR, 80810-340</t>
  </si>
  <si>
    <t>Base Sinapi</t>
  </si>
  <si>
    <t>Data orçamento:</t>
  </si>
  <si>
    <t>ITEM</t>
  </si>
  <si>
    <t>OBJETO:</t>
  </si>
  <si>
    <t xml:space="preserve">LOCAL: </t>
  </si>
  <si>
    <t>1.1</t>
  </si>
  <si>
    <t>1.2</t>
  </si>
  <si>
    <t>1.3</t>
  </si>
  <si>
    <t>2.1</t>
  </si>
  <si>
    <t>2.2</t>
  </si>
  <si>
    <t>2.3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</si>
  <si>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</si>
  <si>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</si>
  <si>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</si>
  <si>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</si>
  <si>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</si>
  <si>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</si>
  <si>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</si>
  <si>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</si>
  <si>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</si>
  <si>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</si>
  <si>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</si>
  <si>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</si>
  <si>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</si>
  <si>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</si>
  <si>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</si>
  <si>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</si>
  <si>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TÉCNICO EM SEGURANÇA DO TRABALHO COM ENCARGOS COMPLEMENTARES</t>
  </si>
  <si>
    <t>SELANTE ELASTICO MONOCOMPONENTE A BASE DE POLIURETANO (PU) PARA JUNTAS DIVERSAS</t>
  </si>
  <si>
    <t>TELA DE ACO SOLDADA GALVANIZADA/ZINCADA PARA ALVENARIA, FIO D = *1,24 MM, MALHA 25 X 25 MM</t>
  </si>
  <si>
    <t>SERVENTE COM ENCARGOS COMPLEMENTARES</t>
  </si>
  <si>
    <t>IMPERMEABILIZADOR COM ENCARGOS COMPLEMENTARES</t>
  </si>
  <si>
    <t>TELHADISTA COM ENCARGOS COMPLEMENTARES</t>
  </si>
  <si>
    <t>TINTA ESMALTE SINTETICO PREMIUM DE EFEITO PROTETOR DE SUPERFICIE METALICA ALUMINIO</t>
  </si>
  <si>
    <t>LOCACAO DE ANDAIME METALICO TIPO FACHADEIRO, LARGURA DE 1,20 M, ALTURA POR PECA DE 2,0 M, INCLUINDO SAPATAS E ITENS NECESSARIOS A INSTALACAO</t>
  </si>
  <si>
    <t>LONA PLASTICA EXTRA FORTE PRETA, E = 200 MICRA</t>
  </si>
  <si>
    <t>PEDREIRO COM ENCARGOS COMPLEMENTARES</t>
  </si>
  <si>
    <t>DEMOLIÇÃO DE REVESTIMENTO CERÂMICO, DE FORMA MANUAL, SEM REAPROVEITAMENTO. AF_12/2017</t>
  </si>
  <si>
    <t>REVESTIMENTO CERÂMICO PARA PAREDES EXTERNAS EM PASTILHAS DE PORCELANA 5 X 5 CM (PLACAS DE 30 X 30 CM), ALINHADAS A PRUMO, APLICADO EM PANOS SEM VÃOS. AF_06/2014</t>
  </si>
  <si>
    <t>MONTAGEM E DESMONTAGEM DE ANDAIME MODULAR FACHADEIRO, COM PISO METÁLICO, PARA EDIFICAÇÕES COM MÚLTIPLOS PAVIMENTOS (EXCLUSIVE ANDAIME E LIMPEZA). AF_11/2017</t>
  </si>
  <si>
    <t>MOTIVO DO USO DE ORÇAMENTO COMERCIAL</t>
  </si>
  <si>
    <t>MATERIAL / SERVIÇO</t>
  </si>
  <si>
    <t>VLR. UNIT.</t>
  </si>
  <si>
    <t>FORNECEDOR</t>
  </si>
  <si>
    <t>CÓDIGO</t>
  </si>
  <si>
    <t>PROJETO DE LINHA DE VIDA</t>
  </si>
  <si>
    <t>ITEM COMPONENTE DO BDI</t>
  </si>
  <si>
    <t>AC</t>
  </si>
  <si>
    <t>R</t>
  </si>
  <si>
    <t>S+G</t>
  </si>
  <si>
    <t>DF</t>
  </si>
  <si>
    <t>I</t>
  </si>
  <si>
    <t>ADMINISTRAÇÃO CENTRAL</t>
  </si>
  <si>
    <t>RISCOS</t>
  </si>
  <si>
    <t>SEGURO E GARANTIA</t>
  </si>
  <si>
    <t>LUCRO</t>
  </si>
  <si>
    <t>TRIBUTOS (PIS, CONFINS E ISS)</t>
  </si>
  <si>
    <t>DESPESAS FINANCEIRAS</t>
  </si>
  <si>
    <t>SIGLA</t>
  </si>
  <si>
    <t>FÓRMULA PARA CÁLCULO DO BDI CONFORME ACÓRDÃO 2622/2013 DO TCU</t>
  </si>
  <si>
    <t>BDI:</t>
  </si>
  <si>
    <t>DESCRIÇÃO DE SERVIÇOS / MATERIAL</t>
  </si>
  <si>
    <t>VLR. UNIT. SEM BDI</t>
  </si>
  <si>
    <t>UNID.</t>
  </si>
  <si>
    <t>QTD.</t>
  </si>
  <si>
    <t>VLR. COM BDI</t>
  </si>
  <si>
    <t>VLR. TOTAL</t>
  </si>
  <si>
    <t>SINAPI - Não desonerado</t>
  </si>
  <si>
    <t>TRAMA DE AÇO COMPOSTA POR TERÇAS PARA TELHADOS DE ATÉ 2 ÁGUAS PARA TELHA ONDULADA DE FIBROCIMENTO, METÁLICA, PLÁSTICA OU TERMOACÚSTICA, INCLUSO TRANSPORTE VERTICAL. AF_07/2019</t>
  </si>
  <si>
    <t>TOTAL ETAPA</t>
  </si>
  <si>
    <t>TOTAL ETAPA:</t>
  </si>
  <si>
    <t>Responsável técnico pelo orçamento:</t>
  </si>
  <si>
    <t>Eng. Jean de Oliveira Gonçalves / CREA PR-178.771/D</t>
  </si>
  <si>
    <t>(41) 99834-0642 - E-MAIL: Solucoes@kgengenharia.com</t>
  </si>
  <si>
    <t>Jean de Oliveira Gonçalves</t>
  </si>
  <si>
    <t>Klemba e Gonçalves Soluções em Engenharia LTDA</t>
  </si>
  <si>
    <t>______________________________________________________________________</t>
  </si>
  <si>
    <t>TOTAL GERAL COM BDI</t>
  </si>
  <si>
    <t>VALORES ADOTADOS*</t>
  </si>
  <si>
    <t>*CONFORME 3° QUARTIL DO ACÓRDÃO DO TCU</t>
  </si>
  <si>
    <t>H</t>
  </si>
  <si>
    <t>310ML</t>
  </si>
  <si>
    <t>UN</t>
  </si>
  <si>
    <t>M</t>
  </si>
  <si>
    <t>M2</t>
  </si>
  <si>
    <t>M2XMES</t>
  </si>
  <si>
    <t>CAÇAMBA 5M³</t>
  </si>
  <si>
    <t>COMPARATIVO COTAÇÕES SOLICITADAS</t>
  </si>
  <si>
    <t>UND.</t>
  </si>
  <si>
    <t>DIPROTEC</t>
  </si>
  <si>
    <t>CASA NOVA</t>
  </si>
  <si>
    <t>TRANSPONTES</t>
  </si>
  <si>
    <t>IDENTIFICAÇÃO DO ORÇAMENTO</t>
  </si>
  <si>
    <t>VYGA</t>
  </si>
  <si>
    <t>TRANSDETRITOS</t>
  </si>
  <si>
    <t>DISKCAÇAMBA</t>
  </si>
  <si>
    <t>CAÇAMBA 5M³ PARA DESCARTE DE RESÍDUOS CLASSE A</t>
  </si>
  <si>
    <t>PROJEÇÃO</t>
  </si>
  <si>
    <t>DESENVOLVIMENTO DE PROJETO EXECUTIVO PARA 60M DE LINHA DE VIDA</t>
  </si>
  <si>
    <t>COM 1</t>
  </si>
  <si>
    <t>COM 5</t>
  </si>
  <si>
    <t>COM 8</t>
  </si>
  <si>
    <t>COM 9</t>
  </si>
  <si>
    <t>COM 10</t>
  </si>
  <si>
    <t>ORÇAMENTO COMPLEMENTAR</t>
  </si>
  <si>
    <t>ITEM ORÇADO: PROJETO DE LINHA DE VIDA</t>
  </si>
  <si>
    <t>ITEM ORÇADO: PAPELÃO ONDULADO</t>
  </si>
  <si>
    <t>ITEM ORÇADO: CAÇAMBA 5M3 CLASSE A</t>
  </si>
  <si>
    <t>LEGENDA</t>
  </si>
  <si>
    <t>DESCRIÇÃO DO ITEM NO ORÇAMENTO DO FORNECEDOR</t>
  </si>
  <si>
    <t>COTAÇÃO DE MENOR CUSTO FINAL</t>
  </si>
  <si>
    <t>TON</t>
  </si>
  <si>
    <t>A CASA DO POLICARBONATO</t>
  </si>
  <si>
    <t>ITEM ORÇADO: CHAPA DE POLICARBONATO COMPACTO CRISTAL 4MM</t>
  </si>
  <si>
    <t>POLICARBONATO CURITIBA</t>
  </si>
  <si>
    <t>ACTOS</t>
  </si>
  <si>
    <t>PLACA DE OBRA (PARA CONSTRUCAO CIVIL) EM CHAPA GALVANIZADA *N. 22*, ADESIVADA, DE *2,0 X 1,125* M (SEM POSTES PARA FIXACAO)</t>
  </si>
  <si>
    <t>1 - MOBILIZAÇÃO E DESMOBILIZAÇÃO DO CANTEIRO DE OBRAS</t>
  </si>
  <si>
    <t>2 - PROLONGAMENTO DA COBERTURA SOBRE CÚPULA</t>
  </si>
  <si>
    <t xml:space="preserve">LOCACAO DE CONTAINER 2,30 X 6,00 M, ALT. 2,50 M, COM 1 SANITARIO, PARA ESCRITORIO, COMPLETO, SEM DIVISORIAS INTERNAS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</si>
  <si>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MES   </t>
  </si>
  <si>
    <t>PC COMP CRISTAL 4 X 2050 X 3000 MM IMP</t>
  </si>
  <si>
    <t>1.4</t>
  </si>
  <si>
    <t>ITEM ORÇADO: PERFIL DE ALUMÍNIO TRAPEZOIDAL</t>
  </si>
  <si>
    <t>ITEM ORÇADO: GAXETA</t>
  </si>
  <si>
    <t xml:space="preserve">PAPELÃO ONDULADO 1,20 </t>
  </si>
  <si>
    <t>DESCARTE RESIDUOS CONTAMINADOS</t>
  </si>
  <si>
    <t>DESCARTE MATERIAIS CONTAMINADOS</t>
  </si>
  <si>
    <t>AL - TRAPEZIO NATURAL 6M</t>
  </si>
  <si>
    <t>BR - BORRACHA GUA 008</t>
  </si>
  <si>
    <t xml:space="preserve">PARAFUSO ZINCADO, AUTOBROCANTE, FLANGEADO, 4,2 MM X 19 MM               </t>
  </si>
  <si>
    <t>CENTO</t>
  </si>
  <si>
    <t>ITEM ORÇADO: DESCARTE DE RESÍDUO CONTAMINADO</t>
  </si>
  <si>
    <t>COM 5 - ORÇ CASA NOVA</t>
  </si>
  <si>
    <t>MATERGI</t>
  </si>
  <si>
    <t>COM 4 - ORÇ DIPROTEC</t>
  </si>
  <si>
    <t>COM 6 - ORÇ MATERGI</t>
  </si>
  <si>
    <t>COM 1 - ORÇ PROJEÇÃO</t>
  </si>
  <si>
    <t>COM 2 - ORÇ VYGA</t>
  </si>
  <si>
    <t>COM 7 - ORÇ A CASA DO POLICARBONATO</t>
  </si>
  <si>
    <t>COM 8 - ORÇ ACTOS</t>
  </si>
  <si>
    <t>COM 9 - ORÇ POLICARBONATO CURITIBA</t>
  </si>
  <si>
    <t>CHAPA POLICARBONATO COMPACTO 4MM CRISTAL (R$ 2.200,00/CHAPA DE 2,05X3,00M)</t>
  </si>
  <si>
    <t>PC - COMPACTO 4MM CRISTAL 2050X3000MM (R$ 2.070,00/CHAPA DE 2,05X3,00M)</t>
  </si>
  <si>
    <t>PAPELÃO CORRUGADO (ONDULADO) FIT 1,20 X50M (BOBINA) (R$ 139,00/ROLO DE 60M²)</t>
  </si>
  <si>
    <t>PAPELÃO ONDULADO 1,20 (R$ 129,00/ROLO DE 60M²)</t>
  </si>
  <si>
    <t>PAPELÃO ONDULADO 1,20 X 10M TERA PAPEIS (R$ 39,90/ROLO DE 12M²)</t>
  </si>
  <si>
    <t>PERFIL TRAPÉZIO PC - 2131 (R$ 98,00/6M)</t>
  </si>
  <si>
    <t>PERFIL ALUMÍNIO TRAPEZIO R14 NATURAL (R$ 85,00/6M)</t>
  </si>
  <si>
    <t>AL - TRAPEZIO NATURAL 6M (R$ 60,00/6M)</t>
  </si>
  <si>
    <t>BR - BORACHA GUA 008</t>
  </si>
  <si>
    <t>PERFIL TRAPÉZIO C/GAXETA 6M (R$ 98,00/6M)</t>
  </si>
  <si>
    <t>GAXETA 274 EPDM PACOTE 48METROS (R$ 140,00/48M)</t>
  </si>
  <si>
    <t>COM 3 - ORÇ ARGGA</t>
  </si>
  <si>
    <t>ARGGA</t>
  </si>
  <si>
    <t>COM 10 - ORÇ TRANSDETRITOS</t>
  </si>
  <si>
    <t>COM 11 - ORÇ DISKCAÇAMBA</t>
  </si>
  <si>
    <t>COM 12 - ORÇ TRANSPONTES</t>
  </si>
  <si>
    <t>DESCARTE DE RESÍDUO FIBRA DE VIDRO</t>
  </si>
  <si>
    <t>DESCARTE DE RESÍDUO CLASSE C FIBRA DE VIDRO</t>
  </si>
  <si>
    <t>CAÇAMBA 5M³ ***</t>
  </si>
  <si>
    <t>*** OBS: A SOMATÓRIA DO CUSTO DA CAÇAMBA E DO DESCARTE DE RESÍDUO FIBRA DE VIDRO POSSUI MENOR CUSTO FINAL, POS ESTE MOTIVO FOI SELECIONADO AMBOS OS VALORES DO FORNECEDOR TRANSDETRITOS</t>
  </si>
  <si>
    <t xml:space="preserve">Orçamento referente às obras de substituição e prolongamento da cobertura da cúpula, conforme projetos fornecidos pelo contratante baseado nos valores do SINAPI e valores comerciais, com BDI conforme equação para cálculo do percentual recomendado pelo Acórdão 2.622/2013 - TCU. </t>
  </si>
  <si>
    <t>EDT</t>
  </si>
  <si>
    <t>NOME DA TAREFA</t>
  </si>
  <si>
    <t>CUSTO</t>
  </si>
  <si>
    <t>INÍCIO</t>
  </si>
  <si>
    <t>TÉRMINO</t>
  </si>
  <si>
    <t>0</t>
  </si>
  <si>
    <t>CRONOGRAMA</t>
  </si>
  <si>
    <t>SERVIÇOS INICIAIS</t>
  </si>
  <si>
    <t>2 dias</t>
  </si>
  <si>
    <t>Mobilização do canteiro de obras</t>
  </si>
  <si>
    <t>1 dia</t>
  </si>
  <si>
    <t>Instalação de placa de obra</t>
  </si>
  <si>
    <t>PROLONGAMENTO DA SOBRE CÚPULA</t>
  </si>
  <si>
    <t>20 dias</t>
  </si>
  <si>
    <t>Reunião de início das atividades</t>
  </si>
  <si>
    <t>0,5 dias</t>
  </si>
  <si>
    <t>Montagem andaimes e equipamentos de segurança</t>
  </si>
  <si>
    <t>Remoção da calha de fibra de vidro</t>
  </si>
  <si>
    <t>3 dias</t>
  </si>
  <si>
    <t>Recuperação de pastilhas soltas</t>
  </si>
  <si>
    <t>Execução do prolongamento da estrutura da sobre cúpula</t>
  </si>
  <si>
    <t>Instalação de tela galvanizada</t>
  </si>
  <si>
    <t>Troca das chapas de policarbonato e instalação de policarbonato no prolongamento</t>
  </si>
  <si>
    <t>Desmontagem de andaime e equipamentos de segurança</t>
  </si>
  <si>
    <t>Limpeza parcial</t>
  </si>
  <si>
    <t>DESMOBILIZAÇÃO E LIMPEZA</t>
  </si>
  <si>
    <t>3.1</t>
  </si>
  <si>
    <t>Desmobilização e limpeza final</t>
  </si>
  <si>
    <t>5 dias</t>
  </si>
  <si>
    <t>PC COMP CRISTAL 4 X 2050 X 3000 MM IMP (R$ 1.624,30/CHAPA DE 2,05X3,00M)</t>
  </si>
  <si>
    <t>17 dias</t>
  </si>
  <si>
    <t>2.21</t>
  </si>
  <si>
    <t>2.22</t>
  </si>
  <si>
    <t>2.23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</si>
  <si>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</si>
  <si>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</si>
  <si>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>DURAÇÃO (dias úteis)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</si>
</sst>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10" fontId="0" fillId="0" borderId="0" xfId="2" applyNumberFormat="1" applyFont="1"/>
    <xf numFmtId="0" fontId="0" fillId="0" borderId="6" xfId="0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0" fontId="2" fillId="0" borderId="5" xfId="0" applyFont="1" applyBorder="1"/>
    <xf numFmtId="10" fontId="2" fillId="0" borderId="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4" fontId="3" fillId="0" borderId="7" xfId="1" applyFont="1" applyFill="1" applyBorder="1" applyAlignment="1">
      <alignment vertical="center" wrapText="1"/>
    </xf>
    <xf numFmtId="44" fontId="3" fillId="0" borderId="3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4" fontId="3" fillId="0" borderId="8" xfId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44" fontId="3" fillId="0" borderId="7" xfId="1" applyFont="1" applyBorder="1" applyAlignment="1">
      <alignment vertical="center" wrapText="1"/>
    </xf>
    <xf numFmtId="44" fontId="3" fillId="0" borderId="32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44" fontId="3" fillId="0" borderId="1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4" fontId="5" fillId="3" borderId="27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4" fontId="4" fillId="4" borderId="25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/>
    <xf numFmtId="0" fontId="3" fillId="5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3" fillId="5" borderId="7" xfId="1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44" fontId="3" fillId="0" borderId="7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44" fontId="3" fillId="5" borderId="10" xfId="1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44" fontId="3" fillId="0" borderId="10" xfId="1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44" fontId="3" fillId="0" borderId="7" xfId="1" applyFont="1" applyFill="1" applyBorder="1" applyAlignment="1">
      <alignment vertical="center"/>
    </xf>
    <xf numFmtId="44" fontId="5" fillId="3" borderId="1" xfId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4" fontId="3" fillId="0" borderId="10" xfId="1" applyFont="1" applyFill="1" applyBorder="1" applyAlignment="1">
      <alignment vertical="center" wrapText="1"/>
    </xf>
    <xf numFmtId="44" fontId="3" fillId="0" borderId="11" xfId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4" fontId="3" fillId="0" borderId="10" xfId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4" fontId="3" fillId="0" borderId="14" xfId="1" applyFont="1" applyFill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2" fillId="6" borderId="51" xfId="0" applyFont="1" applyFill="1" applyBorder="1"/>
    <xf numFmtId="0" fontId="2" fillId="6" borderId="52" xfId="0" applyFont="1" applyFill="1" applyBorder="1"/>
    <xf numFmtId="44" fontId="2" fillId="6" borderId="52" xfId="1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2" fillId="5" borderId="51" xfId="0" applyFont="1" applyFill="1" applyBorder="1"/>
    <xf numFmtId="0" fontId="2" fillId="5" borderId="52" xfId="0" applyFont="1" applyFill="1" applyBorder="1"/>
    <xf numFmtId="44" fontId="2" fillId="5" borderId="52" xfId="1" applyFont="1" applyFill="1" applyBorder="1"/>
    <xf numFmtId="0" fontId="2" fillId="5" borderId="52" xfId="0" applyFont="1" applyFill="1" applyBorder="1" applyAlignment="1">
      <alignment horizontal="center"/>
    </xf>
    <xf numFmtId="14" fontId="2" fillId="5" borderId="52" xfId="0" applyNumberFormat="1" applyFont="1" applyFill="1" applyBorder="1"/>
    <xf numFmtId="14" fontId="2" fillId="5" borderId="53" xfId="0" applyNumberFormat="1" applyFont="1" applyFill="1" applyBorder="1"/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/>
    <xf numFmtId="44" fontId="2" fillId="2" borderId="29" xfId="1" applyFont="1" applyFill="1" applyBorder="1"/>
    <xf numFmtId="0" fontId="2" fillId="2" borderId="29" xfId="0" applyFont="1" applyFill="1" applyBorder="1" applyAlignment="1">
      <alignment horizontal="center"/>
    </xf>
    <xf numFmtId="14" fontId="2" fillId="2" borderId="29" xfId="0" applyNumberFormat="1" applyFont="1" applyFill="1" applyBorder="1"/>
    <xf numFmtId="14" fontId="2" fillId="2" borderId="54" xfId="0" applyNumberFormat="1" applyFont="1" applyFill="1" applyBorder="1"/>
    <xf numFmtId="0" fontId="0" fillId="0" borderId="3" xfId="0" applyBorder="1"/>
    <xf numFmtId="0" fontId="0" fillId="0" borderId="4" xfId="0" applyBorder="1"/>
    <xf numFmtId="44" fontId="1" fillId="0" borderId="4" xfId="1" applyFont="1" applyFill="1" applyBorder="1"/>
    <xf numFmtId="0" fontId="0" fillId="0" borderId="4" xfId="0" applyBorder="1" applyAlignment="1">
      <alignment horizontal="center"/>
    </xf>
    <xf numFmtId="14" fontId="0" fillId="0" borderId="4" xfId="0" applyNumberFormat="1" applyBorder="1"/>
    <xf numFmtId="14" fontId="0" fillId="0" borderId="5" xfId="0" applyNumberFormat="1" applyBorder="1"/>
    <xf numFmtId="0" fontId="0" fillId="0" borderId="9" xfId="0" applyBorder="1"/>
    <xf numFmtId="0" fontId="0" fillId="0" borderId="10" xfId="0" applyBorder="1"/>
    <xf numFmtId="44" fontId="1" fillId="0" borderId="10" xfId="1" applyFont="1" applyFill="1" applyBorder="1"/>
    <xf numFmtId="14" fontId="0" fillId="0" borderId="10" xfId="0" applyNumberFormat="1" applyBorder="1"/>
    <xf numFmtId="14" fontId="0" fillId="0" borderId="11" xfId="0" applyNumberFormat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44" fontId="2" fillId="2" borderId="4" xfId="1" applyFont="1" applyFill="1" applyBorder="1"/>
    <xf numFmtId="0" fontId="2" fillId="2" borderId="4" xfId="0" applyFont="1" applyFill="1" applyBorder="1" applyAlignment="1">
      <alignment horizontal="center"/>
    </xf>
    <xf numFmtId="14" fontId="2" fillId="2" borderId="4" xfId="0" applyNumberFormat="1" applyFont="1" applyFill="1" applyBorder="1"/>
    <xf numFmtId="14" fontId="2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4" fontId="1" fillId="0" borderId="7" xfId="1" applyFont="1" applyFill="1" applyBorder="1"/>
    <xf numFmtId="14" fontId="0" fillId="0" borderId="7" xfId="0" applyNumberFormat="1" applyBorder="1"/>
    <xf numFmtId="14" fontId="0" fillId="0" borderId="8" xfId="0" applyNumberFormat="1" applyBorder="1"/>
    <xf numFmtId="44" fontId="1" fillId="0" borderId="0" xfId="1" applyFont="1"/>
    <xf numFmtId="44" fontId="3" fillId="0" borderId="33" xfId="1" applyFont="1" applyFill="1" applyBorder="1" applyAlignment="1">
      <alignment vertical="center" wrapText="1"/>
    </xf>
    <xf numFmtId="44" fontId="3" fillId="0" borderId="7" xfId="1" applyFont="1" applyFill="1" applyBorder="1" applyAlignment="1">
      <alignment horizontal="center" vertical="center"/>
    </xf>
    <xf numFmtId="44" fontId="3" fillId="0" borderId="10" xfId="1" applyFont="1" applyBorder="1" applyAlignment="1">
      <alignment vertical="center" wrapText="1"/>
    </xf>
    <xf numFmtId="44" fontId="3" fillId="0" borderId="55" xfId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5" fillId="3" borderId="23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Moeda" xfId="1" builtinId="4"/>
    <cellStyle name="Moeda 2" xfId="3" xr:uid="{A0F26712-2267-4A36-8792-C57DEC6B27F9}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594360</xdr:colOff>
      <xdr:row>12</xdr:row>
      <xdr:rowOff>19050</xdr:rowOff>
    </xdr:from>
    <xdr:ext cx="3223062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BCB1158-7733-43CA-9415-683AA3D865F5}"/>
                </a:ext>
              </a:extLst>
            </xdr:cNvPr>
            <xdr:cNvSpPr txBox="1"/>
          </xdr:nvSpPr>
          <xdr:spPr>
            <a:xfrm>
              <a:off x="594360" y="233553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𝑩𝑫𝑰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𝑨𝑪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𝑹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𝑺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𝑮</m:t>
                            </m:r>
                          </m:e>
                        </m:d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𝑫𝑭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𝑳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BCB1158-7733-43CA-9415-683AA3D865F5}"/>
                </a:ext>
              </a:extLst>
            </xdr:cNvPr>
            <xdr:cNvSpPr txBox="1"/>
          </xdr:nvSpPr>
          <xdr:spPr>
            <a:xfrm>
              <a:off x="594360" y="233553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𝑩𝑫𝑰=((𝟏+(𝑨𝑪+𝑹+𝑺+𝑮))(𝟏+𝑫𝑭)(𝟏+𝑳))/((𝟏−𝑻))  </a:t>
              </a:r>
              <a:r>
                <a:rPr lang="pt-BR" sz="1100" b="0" i="0">
                  <a:latin typeface="Cambria Math" panose="02040503050406030204" pitchFamily="18" charset="0"/>
                </a:rPr>
                <a:t>−1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0</xdr:col>
      <xdr:colOff>594360</xdr:colOff>
      <xdr:row>12</xdr:row>
      <xdr:rowOff>19050</xdr:rowOff>
    </xdr:from>
    <xdr:ext cx="3223062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1315E6AB-951E-4A00-BDFB-C7F10F46F43E}"/>
                </a:ext>
              </a:extLst>
            </xdr:cNvPr>
            <xdr:cNvSpPr txBox="1"/>
          </xdr:nvSpPr>
          <xdr:spPr>
            <a:xfrm>
              <a:off x="594360" y="232791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𝑩𝑫𝑰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𝑨𝑪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𝑹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𝑺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 panose="02040503050406030204" pitchFamily="18" charset="0"/>
                              </a:rPr>
                              <m:t>𝑮</m:t>
                            </m:r>
                          </m:e>
                        </m:d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𝑫𝑭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𝑳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1315E6AB-951E-4A00-BDFB-C7F10F46F43E}"/>
                </a:ext>
              </a:extLst>
            </xdr:cNvPr>
            <xdr:cNvSpPr txBox="1"/>
          </xdr:nvSpPr>
          <xdr:spPr>
            <a:xfrm>
              <a:off x="594360" y="2327910"/>
              <a:ext cx="3223062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latin typeface="Cambria Math" panose="02040503050406030204" pitchFamily="18" charset="0"/>
                </a:rPr>
                <a:t>𝑩𝑫𝑰=((𝟏+(𝑨𝑪+𝑹+𝑺+𝑮))(𝟏+𝑫𝑭)(𝟏+𝑳))/((𝟏−𝑻))  </a:t>
              </a:r>
              <a:r>
                <a:rPr lang="pt-BR" sz="1100" b="0" i="0">
                  <a:latin typeface="Cambria Math" panose="02040503050406030204" pitchFamily="18" charset="0"/>
                </a:rPr>
                <a:t>−1</a:t>
              </a:r>
              <a:endParaRPr lang="pt-B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0B4A-0C0A-415A-9473-F10833F906B4}">
  <sheetPr>
    <pageSetUpPr fitToPage="1"/>
  </sheetPr>
  <dimension ref="A1:I49"/>
  <sheetViews>
    <sheetView tabSelected="1" topLeftCell="A4" zoomScale="70" zoomScaleNormal="70" workbookViewId="0">
      <selection activeCell="E18" sqref="E18"/>
    </sheetView>
  </sheetViews>
  <sheetFormatPr defaultRowHeight="13.8" x14ac:dyDescent="0.3"/>
  <cols>
    <col min="1" max="1" width="10.88671875" style="31" customWidth="1"/>
    <col min="2" max="2" width="18.109375" style="31" bestFit="1" customWidth="1"/>
    <col min="3" max="3" width="162.5546875" style="18" customWidth="1"/>
    <col min="4" max="4" width="16.33203125" style="31" bestFit="1" customWidth="1"/>
    <col min="5" max="5" width="12" style="31" bestFit="1" customWidth="1"/>
    <col min="6" max="6" width="18" style="18" customWidth="1"/>
    <col min="7" max="7" width="16.77734375" style="18" customWidth="1"/>
    <col min="8" max="8" width="17.44140625" style="18" bestFit="1" customWidth="1"/>
    <col min="9" max="9" width="14.6640625" style="18" bestFit="1" customWidth="1"/>
    <col min="10" max="10" width="13.44140625" style="18" bestFit="1" customWidth="1"/>
    <col min="11" max="11" width="33.109375" style="18" bestFit="1" customWidth="1"/>
    <col min="12" max="12" width="30.77734375" style="18" customWidth="1"/>
    <col min="13" max="16384" width="8.88671875" style="18"/>
  </cols>
  <sheetData>
    <row r="1" spans="1:9" ht="39" customHeight="1" thickBot="1" x14ac:dyDescent="0.35">
      <c r="A1" s="153" t="s">
        <v>4</v>
      </c>
      <c r="B1" s="154"/>
      <c r="C1" s="154"/>
      <c r="D1" s="154"/>
      <c r="E1" s="154"/>
      <c r="F1" s="154"/>
      <c r="G1" s="154"/>
      <c r="H1" s="155"/>
    </row>
    <row r="2" spans="1:9" ht="25.05" customHeight="1" x14ac:dyDescent="0.3">
      <c r="A2" s="174" t="s">
        <v>9</v>
      </c>
      <c r="B2" s="176" t="s">
        <v>168</v>
      </c>
      <c r="C2" s="176"/>
      <c r="D2" s="176"/>
      <c r="E2" s="177"/>
      <c r="F2" s="158" t="s">
        <v>73</v>
      </c>
      <c r="G2" s="159"/>
      <c r="H2" s="160"/>
    </row>
    <row r="3" spans="1:9" ht="25.05" customHeight="1" x14ac:dyDescent="0.3">
      <c r="A3" s="174"/>
      <c r="B3" s="176"/>
      <c r="C3" s="176"/>
      <c r="D3" s="176"/>
      <c r="E3" s="177"/>
      <c r="F3" s="161" t="s">
        <v>6</v>
      </c>
      <c r="G3" s="162"/>
      <c r="H3" s="11">
        <v>44743</v>
      </c>
    </row>
    <row r="4" spans="1:9" ht="25.05" customHeight="1" x14ac:dyDescent="0.3">
      <c r="A4" s="175"/>
      <c r="B4" s="178"/>
      <c r="C4" s="178"/>
      <c r="D4" s="178"/>
      <c r="E4" s="179"/>
      <c r="F4" s="161" t="s">
        <v>7</v>
      </c>
      <c r="G4" s="162"/>
      <c r="H4" s="12">
        <v>44816</v>
      </c>
    </row>
    <row r="5" spans="1:9" ht="25.05" customHeight="1" thickBot="1" x14ac:dyDescent="0.35">
      <c r="A5" s="3" t="s">
        <v>10</v>
      </c>
      <c r="B5" s="156" t="s">
        <v>5</v>
      </c>
      <c r="C5" s="156"/>
      <c r="D5" s="156"/>
      <c r="E5" s="157"/>
      <c r="F5" s="163" t="s">
        <v>1</v>
      </c>
      <c r="G5" s="164"/>
      <c r="H5" s="13">
        <f>'CÁLCULO BDI'!C8</f>
        <v>0.27539813678414582</v>
      </c>
    </row>
    <row r="6" spans="1:9" ht="14.4" customHeight="1" thickBot="1" x14ac:dyDescent="0.35">
      <c r="A6" s="186" t="s">
        <v>123</v>
      </c>
      <c r="B6" s="187"/>
      <c r="C6" s="187"/>
      <c r="D6" s="187"/>
      <c r="E6" s="187"/>
      <c r="F6" s="187"/>
      <c r="G6" s="187"/>
      <c r="H6" s="188"/>
    </row>
    <row r="7" spans="1:9" ht="13.8" customHeight="1" x14ac:dyDescent="0.3">
      <c r="A7" s="189" t="s">
        <v>8</v>
      </c>
      <c r="B7" s="140" t="s">
        <v>50</v>
      </c>
      <c r="C7" s="140" t="s">
        <v>67</v>
      </c>
      <c r="D7" s="140" t="s">
        <v>69</v>
      </c>
      <c r="E7" s="140" t="s">
        <v>70</v>
      </c>
      <c r="F7" s="142" t="s">
        <v>68</v>
      </c>
      <c r="G7" s="142" t="s">
        <v>71</v>
      </c>
      <c r="H7" s="144"/>
    </row>
    <row r="8" spans="1:9" ht="13.8" customHeight="1" x14ac:dyDescent="0.3">
      <c r="A8" s="190"/>
      <c r="B8" s="141"/>
      <c r="C8" s="141"/>
      <c r="D8" s="141"/>
      <c r="E8" s="141"/>
      <c r="F8" s="143"/>
      <c r="G8" s="83" t="s">
        <v>48</v>
      </c>
      <c r="H8" s="55" t="s">
        <v>72</v>
      </c>
    </row>
    <row r="9" spans="1:9" ht="13.8" customHeight="1" x14ac:dyDescent="0.3">
      <c r="A9" s="19" t="s">
        <v>11</v>
      </c>
      <c r="B9" s="14">
        <v>88316</v>
      </c>
      <c r="C9" s="20" t="s">
        <v>36</v>
      </c>
      <c r="D9" s="14" t="s">
        <v>86</v>
      </c>
      <c r="E9" s="15">
        <v>4.4000000000000004</v>
      </c>
      <c r="F9" s="16">
        <v>23.71</v>
      </c>
      <c r="G9" s="16">
        <f t="shared" ref="G9:G11" si="0">F9*(1+$H$5)</f>
        <v>30.239689823152098</v>
      </c>
      <c r="H9" s="21">
        <f t="shared" ref="H9:H11" si="1">E9*G9</f>
        <v>133.05463522186923</v>
      </c>
      <c r="I9" s="23"/>
    </row>
    <row r="10" spans="1:9" ht="13.8" customHeight="1" x14ac:dyDescent="0.3">
      <c r="A10" s="19" t="s">
        <v>12</v>
      </c>
      <c r="B10" s="14">
        <v>88309</v>
      </c>
      <c r="C10" s="20" t="s">
        <v>42</v>
      </c>
      <c r="D10" s="14" t="s">
        <v>86</v>
      </c>
      <c r="E10" s="15">
        <v>4.4000000000000004</v>
      </c>
      <c r="F10" s="25">
        <v>30.99</v>
      </c>
      <c r="G10" s="26">
        <f t="shared" si="0"/>
        <v>39.524588258940675</v>
      </c>
      <c r="H10" s="21">
        <f t="shared" si="1"/>
        <v>173.90818833933898</v>
      </c>
      <c r="I10" s="23"/>
    </row>
    <row r="11" spans="1:9" ht="13.8" customHeight="1" x14ac:dyDescent="0.25">
      <c r="A11" s="19" t="s">
        <v>13</v>
      </c>
      <c r="B11" s="88">
        <v>10775</v>
      </c>
      <c r="C11" s="87" t="s">
        <v>125</v>
      </c>
      <c r="D11" s="88" t="s">
        <v>126</v>
      </c>
      <c r="E11" s="15">
        <v>1</v>
      </c>
      <c r="F11" s="16">
        <v>610</v>
      </c>
      <c r="G11" s="16">
        <f t="shared" si="0"/>
        <v>777.99286343832898</v>
      </c>
      <c r="H11" s="21">
        <f t="shared" si="1"/>
        <v>777.99286343832898</v>
      </c>
      <c r="I11" s="23"/>
    </row>
    <row r="12" spans="1:9" ht="13.8" customHeight="1" thickBot="1" x14ac:dyDescent="0.35">
      <c r="A12" s="84" t="s">
        <v>128</v>
      </c>
      <c r="B12" s="22">
        <v>4813</v>
      </c>
      <c r="C12" s="85" t="s">
        <v>122</v>
      </c>
      <c r="D12" s="22" t="s">
        <v>90</v>
      </c>
      <c r="E12" s="86">
        <f>2*1.125</f>
        <v>2.25</v>
      </c>
      <c r="F12" s="80">
        <v>445</v>
      </c>
      <c r="G12" s="80">
        <f t="shared" ref="G12" si="2">F12*(1+$H$5)</f>
        <v>567.55217086894493</v>
      </c>
      <c r="H12" s="81">
        <f t="shared" ref="H12" si="3">E12*G12</f>
        <v>1276.9923844551261</v>
      </c>
    </row>
    <row r="13" spans="1:9" ht="14.4" customHeight="1" thickBot="1" x14ac:dyDescent="0.35">
      <c r="A13" s="184" t="s">
        <v>75</v>
      </c>
      <c r="B13" s="185"/>
      <c r="C13" s="185"/>
      <c r="D13" s="185"/>
      <c r="E13" s="185"/>
      <c r="F13" s="185"/>
      <c r="G13" s="185"/>
      <c r="H13" s="76">
        <f>SUM(H9:H12)</f>
        <v>2361.9480714546635</v>
      </c>
    </row>
    <row r="14" spans="1:9" ht="14.4" thickBot="1" x14ac:dyDescent="0.35">
      <c r="A14" s="167" t="s">
        <v>124</v>
      </c>
      <c r="B14" s="168"/>
      <c r="C14" s="168"/>
      <c r="D14" s="168"/>
      <c r="E14" s="168"/>
      <c r="F14" s="168"/>
      <c r="G14" s="168"/>
      <c r="H14" s="169"/>
    </row>
    <row r="15" spans="1:9" x14ac:dyDescent="0.3">
      <c r="A15" s="182" t="s">
        <v>8</v>
      </c>
      <c r="B15" s="165" t="s">
        <v>50</v>
      </c>
      <c r="C15" s="165" t="s">
        <v>67</v>
      </c>
      <c r="D15" s="165" t="s">
        <v>69</v>
      </c>
      <c r="E15" s="165" t="s">
        <v>70</v>
      </c>
      <c r="F15" s="165" t="s">
        <v>68</v>
      </c>
      <c r="G15" s="180" t="s">
        <v>71</v>
      </c>
      <c r="H15" s="181"/>
    </row>
    <row r="16" spans="1:9" x14ac:dyDescent="0.3">
      <c r="A16" s="183"/>
      <c r="B16" s="166"/>
      <c r="C16" s="166"/>
      <c r="D16" s="166"/>
      <c r="E16" s="166"/>
      <c r="F16" s="166"/>
      <c r="G16" s="10" t="s">
        <v>48</v>
      </c>
      <c r="H16" s="24" t="s">
        <v>72</v>
      </c>
    </row>
    <row r="17" spans="1:9" x14ac:dyDescent="0.3">
      <c r="A17" s="19" t="s">
        <v>14</v>
      </c>
      <c r="B17" s="14">
        <v>142</v>
      </c>
      <c r="C17" s="20" t="s">
        <v>34</v>
      </c>
      <c r="D17" s="14" t="s">
        <v>87</v>
      </c>
      <c r="E17" s="15">
        <v>2</v>
      </c>
      <c r="F17" s="25">
        <v>32.75</v>
      </c>
      <c r="G17" s="17">
        <f>F17*(1+$H$5)</f>
        <v>41.769288979680773</v>
      </c>
      <c r="H17" s="21">
        <f>E17*G17</f>
        <v>83.538577959361547</v>
      </c>
    </row>
    <row r="18" spans="1:9" ht="27.6" x14ac:dyDescent="0.3">
      <c r="A18" s="19" t="s">
        <v>15</v>
      </c>
      <c r="B18" s="14">
        <v>20193</v>
      </c>
      <c r="C18" s="20" t="s">
        <v>40</v>
      </c>
      <c r="D18" s="14" t="s">
        <v>91</v>
      </c>
      <c r="E18" s="15">
        <v>343.2</v>
      </c>
      <c r="F18" s="25">
        <v>5.99</v>
      </c>
      <c r="G18" s="17">
        <f t="shared" ref="G18:G39" si="4">F18*(1+$H$5)</f>
        <v>7.6396348393370337</v>
      </c>
      <c r="H18" s="21">
        <f t="shared" ref="H18:H39" si="5">E18*G18</f>
        <v>2621.9226768604699</v>
      </c>
    </row>
    <row r="19" spans="1:9" x14ac:dyDescent="0.3">
      <c r="A19" s="19" t="s">
        <v>16</v>
      </c>
      <c r="B19" s="14" t="s">
        <v>105</v>
      </c>
      <c r="C19" s="20" t="s">
        <v>104</v>
      </c>
      <c r="D19" s="14" t="s">
        <v>94</v>
      </c>
      <c r="E19" s="15">
        <v>1</v>
      </c>
      <c r="F19" s="25">
        <v>2200</v>
      </c>
      <c r="G19" s="17">
        <f t="shared" si="4"/>
        <v>2805.8759009251207</v>
      </c>
      <c r="H19" s="21">
        <f t="shared" si="5"/>
        <v>2805.8759009251207</v>
      </c>
    </row>
    <row r="20" spans="1:9" x14ac:dyDescent="0.3">
      <c r="A20" s="19" t="s">
        <v>3</v>
      </c>
      <c r="B20" s="14" t="s">
        <v>106</v>
      </c>
      <c r="C20" s="20" t="s">
        <v>131</v>
      </c>
      <c r="D20" s="14" t="s">
        <v>90</v>
      </c>
      <c r="E20" s="15">
        <v>60</v>
      </c>
      <c r="F20" s="16">
        <v>2.15</v>
      </c>
      <c r="G20" s="17">
        <f t="shared" si="4"/>
        <v>2.7421059940859136</v>
      </c>
      <c r="H20" s="21">
        <f t="shared" si="5"/>
        <v>164.52635964515483</v>
      </c>
    </row>
    <row r="21" spans="1:9" x14ac:dyDescent="0.3">
      <c r="A21" s="19" t="s">
        <v>17</v>
      </c>
      <c r="B21" s="14">
        <v>42408</v>
      </c>
      <c r="C21" s="20" t="s">
        <v>41</v>
      </c>
      <c r="D21" s="14" t="s">
        <v>90</v>
      </c>
      <c r="E21" s="15">
        <v>60</v>
      </c>
      <c r="F21" s="25">
        <v>2.17</v>
      </c>
      <c r="G21" s="17">
        <f t="shared" si="4"/>
        <v>2.7676139568215965</v>
      </c>
      <c r="H21" s="21">
        <f t="shared" si="5"/>
        <v>166.05683740929578</v>
      </c>
    </row>
    <row r="22" spans="1:9" x14ac:dyDescent="0.3">
      <c r="A22" s="19" t="s">
        <v>18</v>
      </c>
      <c r="B22" s="14">
        <v>88316</v>
      </c>
      <c r="C22" s="20" t="s">
        <v>36</v>
      </c>
      <c r="D22" s="14" t="s">
        <v>86</v>
      </c>
      <c r="E22" s="15">
        <f>7*8.8</f>
        <v>61.600000000000009</v>
      </c>
      <c r="F22" s="16">
        <v>23.71</v>
      </c>
      <c r="G22" s="17">
        <f t="shared" si="4"/>
        <v>30.239689823152098</v>
      </c>
      <c r="H22" s="21">
        <f t="shared" si="5"/>
        <v>1862.7648931061694</v>
      </c>
    </row>
    <row r="23" spans="1:9" x14ac:dyDescent="0.3">
      <c r="A23" s="19" t="s">
        <v>19</v>
      </c>
      <c r="B23" s="14">
        <v>88309</v>
      </c>
      <c r="C23" s="20" t="s">
        <v>42</v>
      </c>
      <c r="D23" s="14" t="s">
        <v>86</v>
      </c>
      <c r="E23" s="15">
        <f>7*8.8</f>
        <v>61.600000000000009</v>
      </c>
      <c r="F23" s="25">
        <v>30.99</v>
      </c>
      <c r="G23" s="17">
        <f t="shared" si="4"/>
        <v>39.524588258940675</v>
      </c>
      <c r="H23" s="21">
        <f t="shared" si="5"/>
        <v>2434.7146367507457</v>
      </c>
    </row>
    <row r="24" spans="1:9" x14ac:dyDescent="0.3">
      <c r="A24" s="19" t="s">
        <v>20</v>
      </c>
      <c r="B24" s="14">
        <v>97633</v>
      </c>
      <c r="C24" s="20" t="s">
        <v>43</v>
      </c>
      <c r="D24" s="14" t="s">
        <v>90</v>
      </c>
      <c r="E24" s="15">
        <v>8.4789999999999992</v>
      </c>
      <c r="F24" s="25">
        <v>24.92</v>
      </c>
      <c r="G24" s="17">
        <f t="shared" si="4"/>
        <v>31.782921568660917</v>
      </c>
      <c r="H24" s="21">
        <f t="shared" si="5"/>
        <v>269.48739198067591</v>
      </c>
    </row>
    <row r="25" spans="1:9" ht="27.6" x14ac:dyDescent="0.3">
      <c r="A25" s="19" t="s">
        <v>21</v>
      </c>
      <c r="B25" s="14">
        <v>87243</v>
      </c>
      <c r="C25" s="20" t="s">
        <v>44</v>
      </c>
      <c r="D25" s="14" t="s">
        <v>90</v>
      </c>
      <c r="E25" s="15">
        <v>8.4779999999999998</v>
      </c>
      <c r="F25" s="25">
        <v>209.9</v>
      </c>
      <c r="G25" s="17">
        <f t="shared" si="4"/>
        <v>267.7060689109922</v>
      </c>
      <c r="H25" s="21">
        <f t="shared" si="5"/>
        <v>2269.6120522273918</v>
      </c>
    </row>
    <row r="26" spans="1:9" x14ac:dyDescent="0.3">
      <c r="A26" s="19" t="s">
        <v>22</v>
      </c>
      <c r="B26" s="14">
        <v>88270</v>
      </c>
      <c r="C26" s="20" t="s">
        <v>37</v>
      </c>
      <c r="D26" s="14" t="s">
        <v>86</v>
      </c>
      <c r="E26" s="15">
        <v>8</v>
      </c>
      <c r="F26" s="25">
        <v>30.99</v>
      </c>
      <c r="G26" s="17">
        <f t="shared" si="4"/>
        <v>39.524588258940675</v>
      </c>
      <c r="H26" s="21">
        <f t="shared" si="5"/>
        <v>316.1967060715254</v>
      </c>
    </row>
    <row r="27" spans="1:9" ht="27.6" x14ac:dyDescent="0.3">
      <c r="A27" s="19" t="s">
        <v>23</v>
      </c>
      <c r="B27" s="14">
        <v>97063</v>
      </c>
      <c r="C27" s="20" t="s">
        <v>45</v>
      </c>
      <c r="D27" s="14" t="s">
        <v>90</v>
      </c>
      <c r="E27" s="15">
        <v>343.2</v>
      </c>
      <c r="F27" s="25">
        <v>12.1</v>
      </c>
      <c r="G27" s="17">
        <f t="shared" si="4"/>
        <v>15.432317455088164</v>
      </c>
      <c r="H27" s="21">
        <f t="shared" si="5"/>
        <v>5296.3713505862579</v>
      </c>
      <c r="I27" s="23"/>
    </row>
    <row r="28" spans="1:9" x14ac:dyDescent="0.3">
      <c r="A28" s="19" t="s">
        <v>24</v>
      </c>
      <c r="B28" s="14" t="s">
        <v>107</v>
      </c>
      <c r="C28" s="20" t="s">
        <v>127</v>
      </c>
      <c r="D28" s="14" t="s">
        <v>90</v>
      </c>
      <c r="E28" s="15">
        <f>28*6.15</f>
        <v>172.20000000000002</v>
      </c>
      <c r="F28" s="25">
        <v>264</v>
      </c>
      <c r="G28" s="17">
        <f t="shared" si="4"/>
        <v>336.70510811101451</v>
      </c>
      <c r="H28" s="21">
        <f t="shared" si="5"/>
        <v>57980.619616716707</v>
      </c>
      <c r="I28" s="74"/>
    </row>
    <row r="29" spans="1:9" x14ac:dyDescent="0.3">
      <c r="A29" s="19" t="s">
        <v>25</v>
      </c>
      <c r="B29" s="14" t="s">
        <v>108</v>
      </c>
      <c r="C29" s="20" t="s">
        <v>134</v>
      </c>
      <c r="D29" s="14" t="s">
        <v>89</v>
      </c>
      <c r="E29" s="15">
        <f>16*3+32*3+40+20+30</f>
        <v>234</v>
      </c>
      <c r="F29" s="25">
        <v>10</v>
      </c>
      <c r="G29" s="17">
        <f t="shared" si="4"/>
        <v>12.753981367841458</v>
      </c>
      <c r="H29" s="21">
        <f t="shared" si="5"/>
        <v>2984.4316400749012</v>
      </c>
      <c r="I29" s="74"/>
    </row>
    <row r="30" spans="1:9" x14ac:dyDescent="0.3">
      <c r="A30" s="19" t="s">
        <v>26</v>
      </c>
      <c r="B30" s="14" t="s">
        <v>108</v>
      </c>
      <c r="C30" s="20" t="s">
        <v>135</v>
      </c>
      <c r="D30" s="14" t="s">
        <v>88</v>
      </c>
      <c r="E30" s="15">
        <f>234*2</f>
        <v>468</v>
      </c>
      <c r="F30" s="25">
        <v>1.2</v>
      </c>
      <c r="G30" s="17">
        <f t="shared" si="4"/>
        <v>1.530477764140975</v>
      </c>
      <c r="H30" s="21">
        <f t="shared" si="5"/>
        <v>716.26359361797631</v>
      </c>
      <c r="I30" s="74"/>
    </row>
    <row r="31" spans="1:9" x14ac:dyDescent="0.3">
      <c r="A31" s="19" t="s">
        <v>27</v>
      </c>
      <c r="B31" s="14">
        <v>40547</v>
      </c>
      <c r="C31" s="20" t="s">
        <v>136</v>
      </c>
      <c r="D31" s="14" t="s">
        <v>137</v>
      </c>
      <c r="E31" s="15">
        <v>8</v>
      </c>
      <c r="F31" s="25">
        <v>23.98</v>
      </c>
      <c r="G31" s="17">
        <f t="shared" si="4"/>
        <v>30.584047320083819</v>
      </c>
      <c r="H31" s="21">
        <f t="shared" si="5"/>
        <v>244.67237856067055</v>
      </c>
      <c r="I31" s="74"/>
    </row>
    <row r="32" spans="1:9" ht="27.6" x14ac:dyDescent="0.3">
      <c r="A32" s="19" t="s">
        <v>28</v>
      </c>
      <c r="B32" s="14">
        <v>92580</v>
      </c>
      <c r="C32" s="20" t="s">
        <v>74</v>
      </c>
      <c r="D32" s="14" t="s">
        <v>90</v>
      </c>
      <c r="E32" s="15">
        <v>24.13</v>
      </c>
      <c r="F32" s="25">
        <v>62.63</v>
      </c>
      <c r="G32" s="17">
        <f t="shared" si="4"/>
        <v>79.878185306791053</v>
      </c>
      <c r="H32" s="21">
        <f t="shared" si="5"/>
        <v>1927.4606114528681</v>
      </c>
    </row>
    <row r="33" spans="1:8" x14ac:dyDescent="0.3">
      <c r="A33" s="19" t="s">
        <v>29</v>
      </c>
      <c r="B33" s="14">
        <v>88323</v>
      </c>
      <c r="C33" s="20" t="s">
        <v>38</v>
      </c>
      <c r="D33" s="14" t="s">
        <v>86</v>
      </c>
      <c r="E33" s="15">
        <f>8*8.8*2</f>
        <v>140.80000000000001</v>
      </c>
      <c r="F33" s="16">
        <v>30.38</v>
      </c>
      <c r="G33" s="17">
        <f>F33*(1+$H$5)</f>
        <v>38.746595395502347</v>
      </c>
      <c r="H33" s="21">
        <f t="shared" si="5"/>
        <v>5455.5206316867307</v>
      </c>
    </row>
    <row r="34" spans="1:8" ht="25.05" customHeight="1" x14ac:dyDescent="0.3">
      <c r="A34" s="19" t="s">
        <v>30</v>
      </c>
      <c r="B34" s="14">
        <v>37411</v>
      </c>
      <c r="C34" s="20" t="s">
        <v>35</v>
      </c>
      <c r="D34" s="14" t="s">
        <v>90</v>
      </c>
      <c r="E34" s="15">
        <v>8.0399999999999991</v>
      </c>
      <c r="F34" s="25">
        <v>24.37</v>
      </c>
      <c r="G34" s="17">
        <f t="shared" si="4"/>
        <v>31.081452593429635</v>
      </c>
      <c r="H34" s="21">
        <f t="shared" si="5"/>
        <v>249.89487885117424</v>
      </c>
    </row>
    <row r="35" spans="1:8" s="41" customFormat="1" ht="18" customHeight="1" x14ac:dyDescent="0.3">
      <c r="A35" s="19" t="s">
        <v>31</v>
      </c>
      <c r="B35" s="14" t="s">
        <v>109</v>
      </c>
      <c r="C35" s="20" t="s">
        <v>92</v>
      </c>
      <c r="D35" s="28" t="s">
        <v>94</v>
      </c>
      <c r="E35" s="29">
        <v>1</v>
      </c>
      <c r="F35" s="30">
        <v>310</v>
      </c>
      <c r="G35" s="136">
        <f t="shared" si="4"/>
        <v>395.37342240308521</v>
      </c>
      <c r="H35" s="21">
        <f t="shared" si="5"/>
        <v>395.37342240308521</v>
      </c>
    </row>
    <row r="36" spans="1:8" ht="25.05" customHeight="1" x14ac:dyDescent="0.3">
      <c r="A36" s="19" t="s">
        <v>32</v>
      </c>
      <c r="B36" s="14" t="s">
        <v>109</v>
      </c>
      <c r="C36" s="27" t="s">
        <v>133</v>
      </c>
      <c r="D36" s="28" t="s">
        <v>117</v>
      </c>
      <c r="E36" s="29">
        <v>0.25</v>
      </c>
      <c r="F36" s="30">
        <v>450</v>
      </c>
      <c r="G36" s="136">
        <f t="shared" si="4"/>
        <v>573.92916155286559</v>
      </c>
      <c r="H36" s="21">
        <f t="shared" si="5"/>
        <v>143.4822903882164</v>
      </c>
    </row>
    <row r="37" spans="1:8" x14ac:dyDescent="0.3">
      <c r="A37" s="19" t="s">
        <v>200</v>
      </c>
      <c r="B37" s="14">
        <v>7306</v>
      </c>
      <c r="C37" s="20" t="s">
        <v>39</v>
      </c>
      <c r="D37" s="14" t="s">
        <v>0</v>
      </c>
      <c r="E37" s="15">
        <v>3.6</v>
      </c>
      <c r="F37" s="25">
        <v>42.4</v>
      </c>
      <c r="G37" s="17">
        <f t="shared" si="4"/>
        <v>54.076880999647784</v>
      </c>
      <c r="H37" s="21">
        <f t="shared" si="5"/>
        <v>194.67677159873202</v>
      </c>
    </row>
    <row r="38" spans="1:8" x14ac:dyDescent="0.3">
      <c r="A38" s="19" t="s">
        <v>201</v>
      </c>
      <c r="B38" s="14">
        <v>7307</v>
      </c>
      <c r="C38" s="20" t="s">
        <v>203</v>
      </c>
      <c r="D38" s="14" t="s">
        <v>204</v>
      </c>
      <c r="E38" s="15">
        <v>3.6</v>
      </c>
      <c r="F38" s="25">
        <v>37.46</v>
      </c>
      <c r="G38" s="17">
        <f t="shared" si="4"/>
        <v>47.776414203934102</v>
      </c>
      <c r="H38" s="21">
        <f t="shared" si="5"/>
        <v>171.99509113416278</v>
      </c>
    </row>
    <row r="39" spans="1:8" ht="14.4" thickBot="1" x14ac:dyDescent="0.35">
      <c r="A39" s="84" t="s">
        <v>202</v>
      </c>
      <c r="B39" s="22">
        <v>100309</v>
      </c>
      <c r="C39" s="85" t="s">
        <v>33</v>
      </c>
      <c r="D39" s="22" t="s">
        <v>86</v>
      </c>
      <c r="E39" s="86">
        <f>17*8.8</f>
        <v>149.60000000000002</v>
      </c>
      <c r="F39" s="138">
        <v>34.03</v>
      </c>
      <c r="G39" s="139">
        <f t="shared" si="4"/>
        <v>43.401798594764486</v>
      </c>
      <c r="H39" s="81">
        <f t="shared" si="5"/>
        <v>6492.9090697767679</v>
      </c>
    </row>
    <row r="40" spans="1:8" ht="16.2" thickBot="1" x14ac:dyDescent="0.35">
      <c r="A40" s="172" t="s">
        <v>76</v>
      </c>
      <c r="B40" s="173"/>
      <c r="C40" s="173"/>
      <c r="D40" s="173"/>
      <c r="E40" s="173"/>
      <c r="F40" s="173"/>
      <c r="G40" s="173"/>
      <c r="H40" s="40">
        <f>SUM(H17:H39)</f>
        <v>95248.367379784162</v>
      </c>
    </row>
    <row r="41" spans="1:8" ht="16.2" thickBot="1" x14ac:dyDescent="0.35">
      <c r="A41" s="170" t="s">
        <v>83</v>
      </c>
      <c r="B41" s="171"/>
      <c r="C41" s="171"/>
      <c r="D41" s="171"/>
      <c r="E41" s="171"/>
      <c r="F41" s="171"/>
      <c r="G41" s="171"/>
      <c r="H41" s="42">
        <f>H13+H40</f>
        <v>97610.315451238828</v>
      </c>
    </row>
    <row r="42" spans="1:8" x14ac:dyDescent="0.3">
      <c r="A42" s="149" t="s">
        <v>77</v>
      </c>
      <c r="B42" s="150"/>
      <c r="C42" s="150"/>
      <c r="D42" s="32"/>
      <c r="E42" s="32"/>
      <c r="F42" s="33"/>
      <c r="G42" s="33"/>
      <c r="H42" s="34"/>
    </row>
    <row r="43" spans="1:8" x14ac:dyDescent="0.3">
      <c r="A43" s="151" t="s">
        <v>78</v>
      </c>
      <c r="B43" s="152"/>
      <c r="C43" s="152"/>
      <c r="H43" s="35"/>
    </row>
    <row r="44" spans="1:8" ht="14.4" customHeight="1" x14ac:dyDescent="0.3">
      <c r="A44" s="151" t="s">
        <v>81</v>
      </c>
      <c r="B44" s="152"/>
      <c r="C44" s="152"/>
      <c r="H44" s="35"/>
    </row>
    <row r="45" spans="1:8" ht="14.4" customHeight="1" x14ac:dyDescent="0.3">
      <c r="A45" s="151" t="s">
        <v>79</v>
      </c>
      <c r="B45" s="152"/>
      <c r="C45" s="152"/>
      <c r="H45" s="35"/>
    </row>
    <row r="46" spans="1:8" x14ac:dyDescent="0.3">
      <c r="A46" s="36"/>
      <c r="H46" s="35"/>
    </row>
    <row r="47" spans="1:8" x14ac:dyDescent="0.3">
      <c r="A47" s="38"/>
      <c r="B47" s="18"/>
      <c r="D47" s="145" t="s">
        <v>82</v>
      </c>
      <c r="E47" s="145"/>
      <c r="F47" s="145"/>
      <c r="G47" s="145"/>
      <c r="H47" s="146"/>
    </row>
    <row r="48" spans="1:8" x14ac:dyDescent="0.3">
      <c r="A48" s="38"/>
      <c r="B48" s="18"/>
      <c r="D48" s="145" t="s">
        <v>80</v>
      </c>
      <c r="E48" s="145"/>
      <c r="F48" s="145"/>
      <c r="G48" s="145"/>
      <c r="H48" s="146"/>
    </row>
    <row r="49" spans="1:8" ht="14.4" thickBot="1" x14ac:dyDescent="0.35">
      <c r="A49" s="39"/>
      <c r="B49" s="37"/>
      <c r="C49" s="37"/>
      <c r="D49" s="147" t="s">
        <v>81</v>
      </c>
      <c r="E49" s="147"/>
      <c r="F49" s="147"/>
      <c r="G49" s="147"/>
      <c r="H49" s="148"/>
    </row>
  </sheetData>
  <mergeCells count="34">
    <mergeCell ref="E15:E16"/>
    <mergeCell ref="A14:H14"/>
    <mergeCell ref="A41:G41"/>
    <mergeCell ref="A40:G40"/>
    <mergeCell ref="A2:A4"/>
    <mergeCell ref="B2:E4"/>
    <mergeCell ref="F15:F16"/>
    <mergeCell ref="G15:H15"/>
    <mergeCell ref="A15:A16"/>
    <mergeCell ref="B15:B16"/>
    <mergeCell ref="C15:C16"/>
    <mergeCell ref="D15:D16"/>
    <mergeCell ref="A13:G13"/>
    <mergeCell ref="A6:H6"/>
    <mergeCell ref="A7:A8"/>
    <mergeCell ref="B7:B8"/>
    <mergeCell ref="A1:H1"/>
    <mergeCell ref="B5:E5"/>
    <mergeCell ref="F2:H2"/>
    <mergeCell ref="F3:G3"/>
    <mergeCell ref="F4:G4"/>
    <mergeCell ref="F5:G5"/>
    <mergeCell ref="D47:H47"/>
    <mergeCell ref="D48:H48"/>
    <mergeCell ref="D49:H49"/>
    <mergeCell ref="A42:C42"/>
    <mergeCell ref="A43:C43"/>
    <mergeCell ref="A44:C44"/>
    <mergeCell ref="A45:C45"/>
    <mergeCell ref="C7:C8"/>
    <mergeCell ref="D7:D8"/>
    <mergeCell ref="E7:E8"/>
    <mergeCell ref="F7:F8"/>
    <mergeCell ref="G7:H7"/>
  </mergeCells>
  <phoneticPr fontId="6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FB4C-1C3B-4908-8852-6B43FED9F585}">
  <dimension ref="A1:D16"/>
  <sheetViews>
    <sheetView workbookViewId="0">
      <selection activeCell="D26" sqref="D26"/>
    </sheetView>
  </sheetViews>
  <sheetFormatPr defaultRowHeight="14.4" x14ac:dyDescent="0.3"/>
  <cols>
    <col min="2" max="2" width="29" customWidth="1"/>
    <col min="3" max="3" width="20" bestFit="1" customWidth="1"/>
    <col min="4" max="4" width="12.109375" customWidth="1"/>
  </cols>
  <sheetData>
    <row r="1" spans="1:4" x14ac:dyDescent="0.3">
      <c r="A1" s="43" t="s">
        <v>64</v>
      </c>
      <c r="B1" s="44" t="s">
        <v>52</v>
      </c>
      <c r="C1" s="8" t="s">
        <v>84</v>
      </c>
    </row>
    <row r="2" spans="1:4" x14ac:dyDescent="0.3">
      <c r="A2" s="5" t="s">
        <v>53</v>
      </c>
      <c r="B2" s="1" t="s">
        <v>58</v>
      </c>
      <c r="C2" s="6">
        <v>5.5E-2</v>
      </c>
    </row>
    <row r="3" spans="1:4" x14ac:dyDescent="0.3">
      <c r="A3" s="5" t="s">
        <v>54</v>
      </c>
      <c r="B3" s="1" t="s">
        <v>59</v>
      </c>
      <c r="C3" s="6">
        <v>0.01</v>
      </c>
      <c r="D3" s="4"/>
    </row>
    <row r="4" spans="1:4" x14ac:dyDescent="0.3">
      <c r="A4" s="5" t="s">
        <v>55</v>
      </c>
      <c r="B4" s="1" t="s">
        <v>60</v>
      </c>
      <c r="C4" s="6">
        <v>1.2699999999999999E-2</v>
      </c>
      <c r="D4" s="4"/>
    </row>
    <row r="5" spans="1:4" x14ac:dyDescent="0.3">
      <c r="A5" s="5" t="s">
        <v>56</v>
      </c>
      <c r="B5" s="1" t="s">
        <v>63</v>
      </c>
      <c r="C5" s="6">
        <v>1.3899999999999999E-2</v>
      </c>
      <c r="D5" s="4"/>
    </row>
    <row r="6" spans="1:4" x14ac:dyDescent="0.3">
      <c r="A6" s="5" t="s">
        <v>0</v>
      </c>
      <c r="B6" s="1" t="s">
        <v>61</v>
      </c>
      <c r="C6" s="6">
        <v>8.9599999999999999E-2</v>
      </c>
      <c r="D6" s="4"/>
    </row>
    <row r="7" spans="1:4" ht="15" thickBot="1" x14ac:dyDescent="0.35">
      <c r="A7" s="45" t="s">
        <v>57</v>
      </c>
      <c r="B7" s="2" t="s">
        <v>62</v>
      </c>
      <c r="C7" s="7">
        <v>6.6500000000000004E-2</v>
      </c>
      <c r="D7" s="4"/>
    </row>
    <row r="8" spans="1:4" ht="15" thickBot="1" x14ac:dyDescent="0.35">
      <c r="A8" s="197" t="s">
        <v>66</v>
      </c>
      <c r="B8" s="198"/>
      <c r="C8" s="9">
        <f>(((1+(C2+C3+C4))*(1+C5)*(1+C6))/(1-C7))-1</f>
        <v>0.27539813678414582</v>
      </c>
      <c r="D8" s="4"/>
    </row>
    <row r="11" spans="1:4" ht="15" thickBot="1" x14ac:dyDescent="0.35"/>
    <row r="12" spans="1:4" ht="21.6" customHeight="1" x14ac:dyDescent="0.3">
      <c r="A12" s="199" t="s">
        <v>65</v>
      </c>
      <c r="B12" s="200"/>
      <c r="C12" s="200"/>
      <c r="D12" s="201"/>
    </row>
    <row r="13" spans="1:4" x14ac:dyDescent="0.3">
      <c r="A13" s="191"/>
      <c r="B13" s="192"/>
      <c r="C13" s="192"/>
      <c r="D13" s="193"/>
    </row>
    <row r="14" spans="1:4" ht="16.8" customHeight="1" thickBot="1" x14ac:dyDescent="0.35">
      <c r="A14" s="194"/>
      <c r="B14" s="195"/>
      <c r="C14" s="195"/>
      <c r="D14" s="196"/>
    </row>
    <row r="16" spans="1:4" x14ac:dyDescent="0.3">
      <c r="A16" t="s">
        <v>85</v>
      </c>
    </row>
  </sheetData>
  <mergeCells count="3">
    <mergeCell ref="A13:D14"/>
    <mergeCell ref="A8:B8"/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DD9D-E2D1-450C-BA1B-C4C14D37A6C6}">
  <dimension ref="A1:F17"/>
  <sheetViews>
    <sheetView workbookViewId="0">
      <selection activeCell="D2" sqref="D2"/>
    </sheetView>
  </sheetViews>
  <sheetFormatPr defaultRowHeight="14.4" x14ac:dyDescent="0.3"/>
  <cols>
    <col min="1" max="1" width="4.5546875" bestFit="1" customWidth="1"/>
    <col min="2" max="2" width="71.109375" bestFit="1" customWidth="1"/>
    <col min="3" max="3" width="14.109375" style="135" bestFit="1" customWidth="1"/>
    <col min="4" max="4" width="20" style="79" bestFit="1" customWidth="1"/>
    <col min="5" max="6" width="10.6640625" bestFit="1" customWidth="1"/>
    <col min="257" max="257" width="4.5546875" bestFit="1" customWidth="1"/>
    <col min="258" max="258" width="71.109375" bestFit="1" customWidth="1"/>
    <col min="259" max="259" width="14.109375" bestFit="1" customWidth="1"/>
    <col min="260" max="260" width="14.77734375" bestFit="1" customWidth="1"/>
    <col min="261" max="262" width="10.6640625" bestFit="1" customWidth="1"/>
    <col min="513" max="513" width="4.5546875" bestFit="1" customWidth="1"/>
    <col min="514" max="514" width="71.109375" bestFit="1" customWidth="1"/>
    <col min="515" max="515" width="14.109375" bestFit="1" customWidth="1"/>
    <col min="516" max="516" width="14.77734375" bestFit="1" customWidth="1"/>
    <col min="517" max="518" width="10.6640625" bestFit="1" customWidth="1"/>
    <col min="769" max="769" width="4.5546875" bestFit="1" customWidth="1"/>
    <col min="770" max="770" width="71.109375" bestFit="1" customWidth="1"/>
    <col min="771" max="771" width="14.109375" bestFit="1" customWidth="1"/>
    <col min="772" max="772" width="14.77734375" bestFit="1" customWidth="1"/>
    <col min="773" max="774" width="10.6640625" bestFit="1" customWidth="1"/>
    <col min="1025" max="1025" width="4.5546875" bestFit="1" customWidth="1"/>
    <col min="1026" max="1026" width="71.109375" bestFit="1" customWidth="1"/>
    <col min="1027" max="1027" width="14.109375" bestFit="1" customWidth="1"/>
    <col min="1028" max="1028" width="14.77734375" bestFit="1" customWidth="1"/>
    <col min="1029" max="1030" width="10.6640625" bestFit="1" customWidth="1"/>
    <col min="1281" max="1281" width="4.5546875" bestFit="1" customWidth="1"/>
    <col min="1282" max="1282" width="71.109375" bestFit="1" customWidth="1"/>
    <col min="1283" max="1283" width="14.109375" bestFit="1" customWidth="1"/>
    <col min="1284" max="1284" width="14.77734375" bestFit="1" customWidth="1"/>
    <col min="1285" max="1286" width="10.6640625" bestFit="1" customWidth="1"/>
    <col min="1537" max="1537" width="4.5546875" bestFit="1" customWidth="1"/>
    <col min="1538" max="1538" width="71.109375" bestFit="1" customWidth="1"/>
    <col min="1539" max="1539" width="14.109375" bestFit="1" customWidth="1"/>
    <col min="1540" max="1540" width="14.77734375" bestFit="1" customWidth="1"/>
    <col min="1541" max="1542" width="10.6640625" bestFit="1" customWidth="1"/>
    <col min="1793" max="1793" width="4.5546875" bestFit="1" customWidth="1"/>
    <col min="1794" max="1794" width="71.109375" bestFit="1" customWidth="1"/>
    <col min="1795" max="1795" width="14.109375" bestFit="1" customWidth="1"/>
    <col min="1796" max="1796" width="14.77734375" bestFit="1" customWidth="1"/>
    <col min="1797" max="1798" width="10.6640625" bestFit="1" customWidth="1"/>
    <col min="2049" max="2049" width="4.5546875" bestFit="1" customWidth="1"/>
    <col min="2050" max="2050" width="71.109375" bestFit="1" customWidth="1"/>
    <col min="2051" max="2051" width="14.109375" bestFit="1" customWidth="1"/>
    <col min="2052" max="2052" width="14.77734375" bestFit="1" customWidth="1"/>
    <col min="2053" max="2054" width="10.6640625" bestFit="1" customWidth="1"/>
    <col min="2305" max="2305" width="4.5546875" bestFit="1" customWidth="1"/>
    <col min="2306" max="2306" width="71.109375" bestFit="1" customWidth="1"/>
    <col min="2307" max="2307" width="14.109375" bestFit="1" customWidth="1"/>
    <col min="2308" max="2308" width="14.77734375" bestFit="1" customWidth="1"/>
    <col min="2309" max="2310" width="10.6640625" bestFit="1" customWidth="1"/>
    <col min="2561" max="2561" width="4.5546875" bestFit="1" customWidth="1"/>
    <col min="2562" max="2562" width="71.109375" bestFit="1" customWidth="1"/>
    <col min="2563" max="2563" width="14.109375" bestFit="1" customWidth="1"/>
    <col min="2564" max="2564" width="14.77734375" bestFit="1" customWidth="1"/>
    <col min="2565" max="2566" width="10.6640625" bestFit="1" customWidth="1"/>
    <col min="2817" max="2817" width="4.5546875" bestFit="1" customWidth="1"/>
    <col min="2818" max="2818" width="71.109375" bestFit="1" customWidth="1"/>
    <col min="2819" max="2819" width="14.109375" bestFit="1" customWidth="1"/>
    <col min="2820" max="2820" width="14.77734375" bestFit="1" customWidth="1"/>
    <col min="2821" max="2822" width="10.6640625" bestFit="1" customWidth="1"/>
    <col min="3073" max="3073" width="4.5546875" bestFit="1" customWidth="1"/>
    <col min="3074" max="3074" width="71.109375" bestFit="1" customWidth="1"/>
    <col min="3075" max="3075" width="14.109375" bestFit="1" customWidth="1"/>
    <col min="3076" max="3076" width="14.77734375" bestFit="1" customWidth="1"/>
    <col min="3077" max="3078" width="10.6640625" bestFit="1" customWidth="1"/>
    <col min="3329" max="3329" width="4.5546875" bestFit="1" customWidth="1"/>
    <col min="3330" max="3330" width="71.109375" bestFit="1" customWidth="1"/>
    <col min="3331" max="3331" width="14.109375" bestFit="1" customWidth="1"/>
    <col min="3332" max="3332" width="14.77734375" bestFit="1" customWidth="1"/>
    <col min="3333" max="3334" width="10.6640625" bestFit="1" customWidth="1"/>
    <col min="3585" max="3585" width="4.5546875" bestFit="1" customWidth="1"/>
    <col min="3586" max="3586" width="71.109375" bestFit="1" customWidth="1"/>
    <col min="3587" max="3587" width="14.109375" bestFit="1" customWidth="1"/>
    <col min="3588" max="3588" width="14.77734375" bestFit="1" customWidth="1"/>
    <col min="3589" max="3590" width="10.6640625" bestFit="1" customWidth="1"/>
    <col min="3841" max="3841" width="4.5546875" bestFit="1" customWidth="1"/>
    <col min="3842" max="3842" width="71.109375" bestFit="1" customWidth="1"/>
    <col min="3843" max="3843" width="14.109375" bestFit="1" customWidth="1"/>
    <col min="3844" max="3844" width="14.77734375" bestFit="1" customWidth="1"/>
    <col min="3845" max="3846" width="10.6640625" bestFit="1" customWidth="1"/>
    <col min="4097" max="4097" width="4.5546875" bestFit="1" customWidth="1"/>
    <col min="4098" max="4098" width="71.109375" bestFit="1" customWidth="1"/>
    <col min="4099" max="4099" width="14.109375" bestFit="1" customWidth="1"/>
    <col min="4100" max="4100" width="14.77734375" bestFit="1" customWidth="1"/>
    <col min="4101" max="4102" width="10.6640625" bestFit="1" customWidth="1"/>
    <col min="4353" max="4353" width="4.5546875" bestFit="1" customWidth="1"/>
    <col min="4354" max="4354" width="71.109375" bestFit="1" customWidth="1"/>
    <col min="4355" max="4355" width="14.109375" bestFit="1" customWidth="1"/>
    <col min="4356" max="4356" width="14.77734375" bestFit="1" customWidth="1"/>
    <col min="4357" max="4358" width="10.6640625" bestFit="1" customWidth="1"/>
    <col min="4609" max="4609" width="4.5546875" bestFit="1" customWidth="1"/>
    <col min="4610" max="4610" width="71.109375" bestFit="1" customWidth="1"/>
    <col min="4611" max="4611" width="14.109375" bestFit="1" customWidth="1"/>
    <col min="4612" max="4612" width="14.77734375" bestFit="1" customWidth="1"/>
    <col min="4613" max="4614" width="10.6640625" bestFit="1" customWidth="1"/>
    <col min="4865" max="4865" width="4.5546875" bestFit="1" customWidth="1"/>
    <col min="4866" max="4866" width="71.109375" bestFit="1" customWidth="1"/>
    <col min="4867" max="4867" width="14.109375" bestFit="1" customWidth="1"/>
    <col min="4868" max="4868" width="14.77734375" bestFit="1" customWidth="1"/>
    <col min="4869" max="4870" width="10.6640625" bestFit="1" customWidth="1"/>
    <col min="5121" max="5121" width="4.5546875" bestFit="1" customWidth="1"/>
    <col min="5122" max="5122" width="71.109375" bestFit="1" customWidth="1"/>
    <col min="5123" max="5123" width="14.109375" bestFit="1" customWidth="1"/>
    <col min="5124" max="5124" width="14.77734375" bestFit="1" customWidth="1"/>
    <col min="5125" max="5126" width="10.6640625" bestFit="1" customWidth="1"/>
    <col min="5377" max="5377" width="4.5546875" bestFit="1" customWidth="1"/>
    <col min="5378" max="5378" width="71.109375" bestFit="1" customWidth="1"/>
    <col min="5379" max="5379" width="14.109375" bestFit="1" customWidth="1"/>
    <col min="5380" max="5380" width="14.77734375" bestFit="1" customWidth="1"/>
    <col min="5381" max="5382" width="10.6640625" bestFit="1" customWidth="1"/>
    <col min="5633" max="5633" width="4.5546875" bestFit="1" customWidth="1"/>
    <col min="5634" max="5634" width="71.109375" bestFit="1" customWidth="1"/>
    <col min="5635" max="5635" width="14.109375" bestFit="1" customWidth="1"/>
    <col min="5636" max="5636" width="14.77734375" bestFit="1" customWidth="1"/>
    <col min="5637" max="5638" width="10.6640625" bestFit="1" customWidth="1"/>
    <col min="5889" max="5889" width="4.5546875" bestFit="1" customWidth="1"/>
    <col min="5890" max="5890" width="71.109375" bestFit="1" customWidth="1"/>
    <col min="5891" max="5891" width="14.109375" bestFit="1" customWidth="1"/>
    <col min="5892" max="5892" width="14.77734375" bestFit="1" customWidth="1"/>
    <col min="5893" max="5894" width="10.6640625" bestFit="1" customWidth="1"/>
    <col min="6145" max="6145" width="4.5546875" bestFit="1" customWidth="1"/>
    <col min="6146" max="6146" width="71.109375" bestFit="1" customWidth="1"/>
    <col min="6147" max="6147" width="14.109375" bestFit="1" customWidth="1"/>
    <col min="6148" max="6148" width="14.77734375" bestFit="1" customWidth="1"/>
    <col min="6149" max="6150" width="10.6640625" bestFit="1" customWidth="1"/>
    <col min="6401" max="6401" width="4.5546875" bestFit="1" customWidth="1"/>
    <col min="6402" max="6402" width="71.109375" bestFit="1" customWidth="1"/>
    <col min="6403" max="6403" width="14.109375" bestFit="1" customWidth="1"/>
    <col min="6404" max="6404" width="14.77734375" bestFit="1" customWidth="1"/>
    <col min="6405" max="6406" width="10.6640625" bestFit="1" customWidth="1"/>
    <col min="6657" max="6657" width="4.5546875" bestFit="1" customWidth="1"/>
    <col min="6658" max="6658" width="71.109375" bestFit="1" customWidth="1"/>
    <col min="6659" max="6659" width="14.109375" bestFit="1" customWidth="1"/>
    <col min="6660" max="6660" width="14.77734375" bestFit="1" customWidth="1"/>
    <col min="6661" max="6662" width="10.6640625" bestFit="1" customWidth="1"/>
    <col min="6913" max="6913" width="4.5546875" bestFit="1" customWidth="1"/>
    <col min="6914" max="6914" width="71.109375" bestFit="1" customWidth="1"/>
    <col min="6915" max="6915" width="14.109375" bestFit="1" customWidth="1"/>
    <col min="6916" max="6916" width="14.77734375" bestFit="1" customWidth="1"/>
    <col min="6917" max="6918" width="10.6640625" bestFit="1" customWidth="1"/>
    <col min="7169" max="7169" width="4.5546875" bestFit="1" customWidth="1"/>
    <col min="7170" max="7170" width="71.109375" bestFit="1" customWidth="1"/>
    <col min="7171" max="7171" width="14.109375" bestFit="1" customWidth="1"/>
    <col min="7172" max="7172" width="14.77734375" bestFit="1" customWidth="1"/>
    <col min="7173" max="7174" width="10.6640625" bestFit="1" customWidth="1"/>
    <col min="7425" max="7425" width="4.5546875" bestFit="1" customWidth="1"/>
    <col min="7426" max="7426" width="71.109375" bestFit="1" customWidth="1"/>
    <col min="7427" max="7427" width="14.109375" bestFit="1" customWidth="1"/>
    <col min="7428" max="7428" width="14.77734375" bestFit="1" customWidth="1"/>
    <col min="7429" max="7430" width="10.6640625" bestFit="1" customWidth="1"/>
    <col min="7681" max="7681" width="4.5546875" bestFit="1" customWidth="1"/>
    <col min="7682" max="7682" width="71.109375" bestFit="1" customWidth="1"/>
    <col min="7683" max="7683" width="14.109375" bestFit="1" customWidth="1"/>
    <col min="7684" max="7684" width="14.77734375" bestFit="1" customWidth="1"/>
    <col min="7685" max="7686" width="10.6640625" bestFit="1" customWidth="1"/>
    <col min="7937" max="7937" width="4.5546875" bestFit="1" customWidth="1"/>
    <col min="7938" max="7938" width="71.109375" bestFit="1" customWidth="1"/>
    <col min="7939" max="7939" width="14.109375" bestFit="1" customWidth="1"/>
    <col min="7940" max="7940" width="14.77734375" bestFit="1" customWidth="1"/>
    <col min="7941" max="7942" width="10.6640625" bestFit="1" customWidth="1"/>
    <col min="8193" max="8193" width="4.5546875" bestFit="1" customWidth="1"/>
    <col min="8194" max="8194" width="71.109375" bestFit="1" customWidth="1"/>
    <col min="8195" max="8195" width="14.109375" bestFit="1" customWidth="1"/>
    <col min="8196" max="8196" width="14.77734375" bestFit="1" customWidth="1"/>
    <col min="8197" max="8198" width="10.6640625" bestFit="1" customWidth="1"/>
    <col min="8449" max="8449" width="4.5546875" bestFit="1" customWidth="1"/>
    <col min="8450" max="8450" width="71.109375" bestFit="1" customWidth="1"/>
    <col min="8451" max="8451" width="14.109375" bestFit="1" customWidth="1"/>
    <col min="8452" max="8452" width="14.77734375" bestFit="1" customWidth="1"/>
    <col min="8453" max="8454" width="10.6640625" bestFit="1" customWidth="1"/>
    <col min="8705" max="8705" width="4.5546875" bestFit="1" customWidth="1"/>
    <col min="8706" max="8706" width="71.109375" bestFit="1" customWidth="1"/>
    <col min="8707" max="8707" width="14.109375" bestFit="1" customWidth="1"/>
    <col min="8708" max="8708" width="14.77734375" bestFit="1" customWidth="1"/>
    <col min="8709" max="8710" width="10.6640625" bestFit="1" customWidth="1"/>
    <col min="8961" max="8961" width="4.5546875" bestFit="1" customWidth="1"/>
    <col min="8962" max="8962" width="71.109375" bestFit="1" customWidth="1"/>
    <col min="8963" max="8963" width="14.109375" bestFit="1" customWidth="1"/>
    <col min="8964" max="8964" width="14.77734375" bestFit="1" customWidth="1"/>
    <col min="8965" max="8966" width="10.6640625" bestFit="1" customWidth="1"/>
    <col min="9217" max="9217" width="4.5546875" bestFit="1" customWidth="1"/>
    <col min="9218" max="9218" width="71.109375" bestFit="1" customWidth="1"/>
    <col min="9219" max="9219" width="14.109375" bestFit="1" customWidth="1"/>
    <col min="9220" max="9220" width="14.77734375" bestFit="1" customWidth="1"/>
    <col min="9221" max="9222" width="10.6640625" bestFit="1" customWidth="1"/>
    <col min="9473" max="9473" width="4.5546875" bestFit="1" customWidth="1"/>
    <col min="9474" max="9474" width="71.109375" bestFit="1" customWidth="1"/>
    <col min="9475" max="9475" width="14.109375" bestFit="1" customWidth="1"/>
    <col min="9476" max="9476" width="14.77734375" bestFit="1" customWidth="1"/>
    <col min="9477" max="9478" width="10.6640625" bestFit="1" customWidth="1"/>
    <col min="9729" max="9729" width="4.5546875" bestFit="1" customWidth="1"/>
    <col min="9730" max="9730" width="71.109375" bestFit="1" customWidth="1"/>
    <col min="9731" max="9731" width="14.109375" bestFit="1" customWidth="1"/>
    <col min="9732" max="9732" width="14.77734375" bestFit="1" customWidth="1"/>
    <col min="9733" max="9734" width="10.6640625" bestFit="1" customWidth="1"/>
    <col min="9985" max="9985" width="4.5546875" bestFit="1" customWidth="1"/>
    <col min="9986" max="9986" width="71.109375" bestFit="1" customWidth="1"/>
    <col min="9987" max="9987" width="14.109375" bestFit="1" customWidth="1"/>
    <col min="9988" max="9988" width="14.77734375" bestFit="1" customWidth="1"/>
    <col min="9989" max="9990" width="10.6640625" bestFit="1" customWidth="1"/>
    <col min="10241" max="10241" width="4.5546875" bestFit="1" customWidth="1"/>
    <col min="10242" max="10242" width="71.109375" bestFit="1" customWidth="1"/>
    <col min="10243" max="10243" width="14.109375" bestFit="1" customWidth="1"/>
    <col min="10244" max="10244" width="14.77734375" bestFit="1" customWidth="1"/>
    <col min="10245" max="10246" width="10.6640625" bestFit="1" customWidth="1"/>
    <col min="10497" max="10497" width="4.5546875" bestFit="1" customWidth="1"/>
    <col min="10498" max="10498" width="71.109375" bestFit="1" customWidth="1"/>
    <col min="10499" max="10499" width="14.109375" bestFit="1" customWidth="1"/>
    <col min="10500" max="10500" width="14.77734375" bestFit="1" customWidth="1"/>
    <col min="10501" max="10502" width="10.6640625" bestFit="1" customWidth="1"/>
    <col min="10753" max="10753" width="4.5546875" bestFit="1" customWidth="1"/>
    <col min="10754" max="10754" width="71.109375" bestFit="1" customWidth="1"/>
    <col min="10755" max="10755" width="14.109375" bestFit="1" customWidth="1"/>
    <col min="10756" max="10756" width="14.77734375" bestFit="1" customWidth="1"/>
    <col min="10757" max="10758" width="10.6640625" bestFit="1" customWidth="1"/>
    <col min="11009" max="11009" width="4.5546875" bestFit="1" customWidth="1"/>
    <col min="11010" max="11010" width="71.109375" bestFit="1" customWidth="1"/>
    <col min="11011" max="11011" width="14.109375" bestFit="1" customWidth="1"/>
    <col min="11012" max="11012" width="14.77734375" bestFit="1" customWidth="1"/>
    <col min="11013" max="11014" width="10.6640625" bestFit="1" customWidth="1"/>
    <col min="11265" max="11265" width="4.5546875" bestFit="1" customWidth="1"/>
    <col min="11266" max="11266" width="71.109375" bestFit="1" customWidth="1"/>
    <col min="11267" max="11267" width="14.109375" bestFit="1" customWidth="1"/>
    <col min="11268" max="11268" width="14.77734375" bestFit="1" customWidth="1"/>
    <col min="11269" max="11270" width="10.6640625" bestFit="1" customWidth="1"/>
    <col min="11521" max="11521" width="4.5546875" bestFit="1" customWidth="1"/>
    <col min="11522" max="11522" width="71.109375" bestFit="1" customWidth="1"/>
    <col min="11523" max="11523" width="14.109375" bestFit="1" customWidth="1"/>
    <col min="11524" max="11524" width="14.77734375" bestFit="1" customWidth="1"/>
    <col min="11525" max="11526" width="10.6640625" bestFit="1" customWidth="1"/>
    <col min="11777" max="11777" width="4.5546875" bestFit="1" customWidth="1"/>
    <col min="11778" max="11778" width="71.109375" bestFit="1" customWidth="1"/>
    <col min="11779" max="11779" width="14.109375" bestFit="1" customWidth="1"/>
    <col min="11780" max="11780" width="14.77734375" bestFit="1" customWidth="1"/>
    <col min="11781" max="11782" width="10.6640625" bestFit="1" customWidth="1"/>
    <col min="12033" max="12033" width="4.5546875" bestFit="1" customWidth="1"/>
    <col min="12034" max="12034" width="71.109375" bestFit="1" customWidth="1"/>
    <col min="12035" max="12035" width="14.109375" bestFit="1" customWidth="1"/>
    <col min="12036" max="12036" width="14.77734375" bestFit="1" customWidth="1"/>
    <col min="12037" max="12038" width="10.6640625" bestFit="1" customWidth="1"/>
    <col min="12289" max="12289" width="4.5546875" bestFit="1" customWidth="1"/>
    <col min="12290" max="12290" width="71.109375" bestFit="1" customWidth="1"/>
    <col min="12291" max="12291" width="14.109375" bestFit="1" customWidth="1"/>
    <col min="12292" max="12292" width="14.77734375" bestFit="1" customWidth="1"/>
    <col min="12293" max="12294" width="10.6640625" bestFit="1" customWidth="1"/>
    <col min="12545" max="12545" width="4.5546875" bestFit="1" customWidth="1"/>
    <col min="12546" max="12546" width="71.109375" bestFit="1" customWidth="1"/>
    <col min="12547" max="12547" width="14.109375" bestFit="1" customWidth="1"/>
    <col min="12548" max="12548" width="14.77734375" bestFit="1" customWidth="1"/>
    <col min="12549" max="12550" width="10.6640625" bestFit="1" customWidth="1"/>
    <col min="12801" max="12801" width="4.5546875" bestFit="1" customWidth="1"/>
    <col min="12802" max="12802" width="71.109375" bestFit="1" customWidth="1"/>
    <col min="12803" max="12803" width="14.109375" bestFit="1" customWidth="1"/>
    <col min="12804" max="12804" width="14.77734375" bestFit="1" customWidth="1"/>
    <col min="12805" max="12806" width="10.6640625" bestFit="1" customWidth="1"/>
    <col min="13057" max="13057" width="4.5546875" bestFit="1" customWidth="1"/>
    <col min="13058" max="13058" width="71.109375" bestFit="1" customWidth="1"/>
    <col min="13059" max="13059" width="14.109375" bestFit="1" customWidth="1"/>
    <col min="13060" max="13060" width="14.77734375" bestFit="1" customWidth="1"/>
    <col min="13061" max="13062" width="10.6640625" bestFit="1" customWidth="1"/>
    <col min="13313" max="13313" width="4.5546875" bestFit="1" customWidth="1"/>
    <col min="13314" max="13314" width="71.109375" bestFit="1" customWidth="1"/>
    <col min="13315" max="13315" width="14.109375" bestFit="1" customWidth="1"/>
    <col min="13316" max="13316" width="14.77734375" bestFit="1" customWidth="1"/>
    <col min="13317" max="13318" width="10.6640625" bestFit="1" customWidth="1"/>
    <col min="13569" max="13569" width="4.5546875" bestFit="1" customWidth="1"/>
    <col min="13570" max="13570" width="71.109375" bestFit="1" customWidth="1"/>
    <col min="13571" max="13571" width="14.109375" bestFit="1" customWidth="1"/>
    <col min="13572" max="13572" width="14.77734375" bestFit="1" customWidth="1"/>
    <col min="13573" max="13574" width="10.6640625" bestFit="1" customWidth="1"/>
    <col min="13825" max="13825" width="4.5546875" bestFit="1" customWidth="1"/>
    <col min="13826" max="13826" width="71.109375" bestFit="1" customWidth="1"/>
    <col min="13827" max="13827" width="14.109375" bestFit="1" customWidth="1"/>
    <col min="13828" max="13828" width="14.77734375" bestFit="1" customWidth="1"/>
    <col min="13829" max="13830" width="10.6640625" bestFit="1" customWidth="1"/>
    <col min="14081" max="14081" width="4.5546875" bestFit="1" customWidth="1"/>
    <col min="14082" max="14082" width="71.109375" bestFit="1" customWidth="1"/>
    <col min="14083" max="14083" width="14.109375" bestFit="1" customWidth="1"/>
    <col min="14084" max="14084" width="14.77734375" bestFit="1" customWidth="1"/>
    <col min="14085" max="14086" width="10.6640625" bestFit="1" customWidth="1"/>
    <col min="14337" max="14337" width="4.5546875" bestFit="1" customWidth="1"/>
    <col min="14338" max="14338" width="71.109375" bestFit="1" customWidth="1"/>
    <col min="14339" max="14339" width="14.109375" bestFit="1" customWidth="1"/>
    <col min="14340" max="14340" width="14.77734375" bestFit="1" customWidth="1"/>
    <col min="14341" max="14342" width="10.6640625" bestFit="1" customWidth="1"/>
    <col min="14593" max="14593" width="4.5546875" bestFit="1" customWidth="1"/>
    <col min="14594" max="14594" width="71.109375" bestFit="1" customWidth="1"/>
    <col min="14595" max="14595" width="14.109375" bestFit="1" customWidth="1"/>
    <col min="14596" max="14596" width="14.77734375" bestFit="1" customWidth="1"/>
    <col min="14597" max="14598" width="10.6640625" bestFit="1" customWidth="1"/>
    <col min="14849" max="14849" width="4.5546875" bestFit="1" customWidth="1"/>
    <col min="14850" max="14850" width="71.109375" bestFit="1" customWidth="1"/>
    <col min="14851" max="14851" width="14.109375" bestFit="1" customWidth="1"/>
    <col min="14852" max="14852" width="14.77734375" bestFit="1" customWidth="1"/>
    <col min="14853" max="14854" width="10.6640625" bestFit="1" customWidth="1"/>
    <col min="15105" max="15105" width="4.5546875" bestFit="1" customWidth="1"/>
    <col min="15106" max="15106" width="71.109375" bestFit="1" customWidth="1"/>
    <col min="15107" max="15107" width="14.109375" bestFit="1" customWidth="1"/>
    <col min="15108" max="15108" width="14.77734375" bestFit="1" customWidth="1"/>
    <col min="15109" max="15110" width="10.6640625" bestFit="1" customWidth="1"/>
    <col min="15361" max="15361" width="4.5546875" bestFit="1" customWidth="1"/>
    <col min="15362" max="15362" width="71.109375" bestFit="1" customWidth="1"/>
    <col min="15363" max="15363" width="14.109375" bestFit="1" customWidth="1"/>
    <col min="15364" max="15364" width="14.77734375" bestFit="1" customWidth="1"/>
    <col min="15365" max="15366" width="10.6640625" bestFit="1" customWidth="1"/>
    <col min="15617" max="15617" width="4.5546875" bestFit="1" customWidth="1"/>
    <col min="15618" max="15618" width="71.109375" bestFit="1" customWidth="1"/>
    <col min="15619" max="15619" width="14.109375" bestFit="1" customWidth="1"/>
    <col min="15620" max="15620" width="14.77734375" bestFit="1" customWidth="1"/>
    <col min="15621" max="15622" width="10.6640625" bestFit="1" customWidth="1"/>
    <col min="15873" max="15873" width="4.5546875" bestFit="1" customWidth="1"/>
    <col min="15874" max="15874" width="71.109375" bestFit="1" customWidth="1"/>
    <col min="15875" max="15875" width="14.109375" bestFit="1" customWidth="1"/>
    <col min="15876" max="15876" width="14.77734375" bestFit="1" customWidth="1"/>
    <col min="15877" max="15878" width="10.6640625" bestFit="1" customWidth="1"/>
    <col min="16129" max="16129" width="4.5546875" bestFit="1" customWidth="1"/>
    <col min="16130" max="16130" width="71.109375" bestFit="1" customWidth="1"/>
    <col min="16131" max="16131" width="14.109375" bestFit="1" customWidth="1"/>
    <col min="16132" max="16132" width="14.77734375" bestFit="1" customWidth="1"/>
    <col min="16133" max="16134" width="10.6640625" bestFit="1" customWidth="1"/>
  </cols>
  <sheetData>
    <row r="1" spans="1:6" ht="15" thickBot="1" x14ac:dyDescent="0.35">
      <c r="A1" s="96" t="s">
        <v>169</v>
      </c>
      <c r="B1" s="97" t="s">
        <v>170</v>
      </c>
      <c r="C1" s="98" t="s">
        <v>171</v>
      </c>
      <c r="D1" s="99" t="s">
        <v>205</v>
      </c>
      <c r="E1" s="99" t="s">
        <v>172</v>
      </c>
      <c r="F1" s="100" t="s">
        <v>173</v>
      </c>
    </row>
    <row r="2" spans="1:6" ht="15" thickBot="1" x14ac:dyDescent="0.35">
      <c r="A2" s="101" t="s">
        <v>174</v>
      </c>
      <c r="B2" s="102" t="s">
        <v>175</v>
      </c>
      <c r="C2" s="103">
        <f>'PLANILHA ORÇAMENTÁRIA'!H41</f>
        <v>97610.315451238828</v>
      </c>
      <c r="D2" s="104" t="s">
        <v>182</v>
      </c>
      <c r="E2" s="105">
        <v>44866</v>
      </c>
      <c r="F2" s="106">
        <f>F16</f>
        <v>44893</v>
      </c>
    </row>
    <row r="3" spans="1:6" ht="15" thickBot="1" x14ac:dyDescent="0.35">
      <c r="A3" s="107">
        <v>1</v>
      </c>
      <c r="B3" s="108" t="s">
        <v>176</v>
      </c>
      <c r="C3" s="109">
        <f>SUM(C4:C5)</f>
        <v>2208.466659674059</v>
      </c>
      <c r="D3" s="110" t="s">
        <v>177</v>
      </c>
      <c r="E3" s="111">
        <f>E4</f>
        <v>44866</v>
      </c>
      <c r="F3" s="112">
        <f>F5</f>
        <v>44867</v>
      </c>
    </row>
    <row r="4" spans="1:6" x14ac:dyDescent="0.3">
      <c r="A4" s="113" t="s">
        <v>11</v>
      </c>
      <c r="B4" s="114" t="s">
        <v>178</v>
      </c>
      <c r="C4" s="115">
        <f>'PLANILHA ORÇAMENTÁRIA'!H11+('PLANILHA ORÇAMENTÁRIA'!H10+'PLANILHA ORÇAMENTÁRIA'!H9)/2</f>
        <v>931.47427521893314</v>
      </c>
      <c r="D4" s="116" t="s">
        <v>179</v>
      </c>
      <c r="E4" s="117">
        <v>44866</v>
      </c>
      <c r="F4" s="118">
        <v>44866</v>
      </c>
    </row>
    <row r="5" spans="1:6" ht="15" thickBot="1" x14ac:dyDescent="0.35">
      <c r="A5" s="119" t="s">
        <v>12</v>
      </c>
      <c r="B5" s="120" t="s">
        <v>180</v>
      </c>
      <c r="C5" s="121">
        <f>'PLANILHA ORÇAMENTÁRIA'!H12</f>
        <v>1276.9923844551261</v>
      </c>
      <c r="D5" s="2" t="s">
        <v>179</v>
      </c>
      <c r="E5" s="122">
        <v>44867</v>
      </c>
      <c r="F5" s="123">
        <v>44867</v>
      </c>
    </row>
    <row r="6" spans="1:6" x14ac:dyDescent="0.3">
      <c r="A6" s="124">
        <v>2</v>
      </c>
      <c r="B6" s="125" t="s">
        <v>181</v>
      </c>
      <c r="C6" s="126">
        <f>SUM(C7:C15)</f>
        <v>95248.367379784162</v>
      </c>
      <c r="D6" s="127" t="s">
        <v>199</v>
      </c>
      <c r="E6" s="128">
        <f>E7</f>
        <v>44868</v>
      </c>
      <c r="F6" s="129">
        <f>F15</f>
        <v>44890</v>
      </c>
    </row>
    <row r="7" spans="1:6" x14ac:dyDescent="0.3">
      <c r="A7" s="130" t="s">
        <v>14</v>
      </c>
      <c r="B7" s="131" t="s">
        <v>183</v>
      </c>
      <c r="C7" s="132">
        <f>'PLANILHA ORÇAMENTÁRIA'!H39*0.1</f>
        <v>649.29090697767685</v>
      </c>
      <c r="D7" s="1" t="s">
        <v>184</v>
      </c>
      <c r="E7" s="133">
        <v>44868</v>
      </c>
      <c r="F7" s="134">
        <v>44868</v>
      </c>
    </row>
    <row r="8" spans="1:6" x14ac:dyDescent="0.3">
      <c r="A8" s="130" t="s">
        <v>15</v>
      </c>
      <c r="B8" s="131" t="s">
        <v>185</v>
      </c>
      <c r="C8" s="132">
        <f>'PLANILHA ORÇAMENTÁRIA'!H18+'PLANILHA ORÇAMENTÁRIA'!H19+'PLANILHA ORÇAMENTÁRIA'!H20+'PLANILHA ORÇAMENTÁRIA'!H21+'PLANILHA ORÇAMENTÁRIA'!H27/2+'PLANILHA ORÇAMENTÁRIA'!H39*0.1</f>
        <v>9055.8583571108466</v>
      </c>
      <c r="D8" s="1" t="s">
        <v>177</v>
      </c>
      <c r="E8" s="133">
        <v>44868</v>
      </c>
      <c r="F8" s="134">
        <v>44869</v>
      </c>
    </row>
    <row r="9" spans="1:6" x14ac:dyDescent="0.3">
      <c r="A9" s="130" t="s">
        <v>16</v>
      </c>
      <c r="B9" s="131" t="s">
        <v>186</v>
      </c>
      <c r="C9" s="132">
        <f>'PLANILHA ORÇAMENTÁRIA'!H35+'PLANILHA ORÇAMENTÁRIA'!H36+'PLANILHA ORÇAMENTÁRIA'!H23+'PLANILHA ORÇAMENTÁRIA'!H22*0.9+'PLANILHA ORÇAMENTÁRIA'!H39*0.1</f>
        <v>5299.3496603152771</v>
      </c>
      <c r="D9" s="1" t="s">
        <v>177</v>
      </c>
      <c r="E9" s="133">
        <v>44872</v>
      </c>
      <c r="F9" s="134">
        <v>44873</v>
      </c>
    </row>
    <row r="10" spans="1:6" x14ac:dyDescent="0.3">
      <c r="A10" s="130" t="s">
        <v>3</v>
      </c>
      <c r="B10" s="131" t="s">
        <v>188</v>
      </c>
      <c r="C10" s="132">
        <f>'PLANILHA ORÇAMENTÁRIA'!H24+'PLANILHA ORÇAMENTÁRIA'!H17+'PLANILHA ORÇAMENTÁRIA'!H25+'PLANILHA ORÇAMENTÁRIA'!H26+'PLANILHA ORÇAMENTÁRIA'!H39*0.1</f>
        <v>3588.125635216632</v>
      </c>
      <c r="D10" s="1" t="s">
        <v>177</v>
      </c>
      <c r="E10" s="133">
        <v>44874</v>
      </c>
      <c r="F10" s="134">
        <v>44875</v>
      </c>
    </row>
    <row r="11" spans="1:6" x14ac:dyDescent="0.3">
      <c r="A11" s="130" t="s">
        <v>17</v>
      </c>
      <c r="B11" s="131" t="s">
        <v>189</v>
      </c>
      <c r="C11" s="132">
        <f>'PLANILHA ORÇAMENTÁRIA'!H33/2+'PLANILHA ORÇAMENTÁRIA'!H32+'PLANILHA ORÇAMENTÁRIA'!H37+'PLANILHA ORÇAMENTÁRIA'!H39*0.1+'PLANILHA ORÇAMENTÁRIA'!H38</f>
        <v>5671.1836970068052</v>
      </c>
      <c r="D11" s="1" t="s">
        <v>187</v>
      </c>
      <c r="E11" s="133">
        <v>44876</v>
      </c>
      <c r="F11" s="134">
        <v>44880</v>
      </c>
    </row>
    <row r="12" spans="1:6" x14ac:dyDescent="0.3">
      <c r="A12" s="130" t="s">
        <v>18</v>
      </c>
      <c r="B12" s="131" t="s">
        <v>191</v>
      </c>
      <c r="C12" s="132">
        <f>'PLANILHA ORÇAMENTÁRIA'!H28+'PLANILHA ORÇAMENTÁRIA'!H29+'PLANILHA ORÇAMENTÁRIA'!H30+'PLANILHA ORÇAMENTÁRIA'!H31+'PLANILHA ORÇAMENTÁRIA'!H33/2+'PLANILHA ORÇAMENTÁRIA'!H39*0.3</f>
        <v>66601.620265746649</v>
      </c>
      <c r="D12" s="1" t="s">
        <v>197</v>
      </c>
      <c r="E12" s="133">
        <v>44881</v>
      </c>
      <c r="F12" s="134">
        <v>44887</v>
      </c>
    </row>
    <row r="13" spans="1:6" x14ac:dyDescent="0.3">
      <c r="A13" s="130" t="s">
        <v>19</v>
      </c>
      <c r="B13" s="131" t="s">
        <v>190</v>
      </c>
      <c r="C13" s="132">
        <f>'PLANILHA ORÇAMENTÁRIA'!H34+'PLANILHA ORÇAMENTÁRIA'!H39*0.1</f>
        <v>899.18578582885107</v>
      </c>
      <c r="D13" s="1" t="s">
        <v>179</v>
      </c>
      <c r="E13" s="133">
        <v>44888</v>
      </c>
      <c r="F13" s="134">
        <v>44888</v>
      </c>
    </row>
    <row r="14" spans="1:6" x14ac:dyDescent="0.3">
      <c r="A14" s="130" t="s">
        <v>20</v>
      </c>
      <c r="B14" s="131" t="s">
        <v>192</v>
      </c>
      <c r="C14" s="132">
        <f>'PLANILHA ORÇAMENTÁRIA'!H27/2+'PLANILHA ORÇAMENTÁRIA'!H39*0.1</f>
        <v>3297.4765822708059</v>
      </c>
      <c r="D14" s="1" t="s">
        <v>179</v>
      </c>
      <c r="E14" s="133">
        <v>44889</v>
      </c>
      <c r="F14" s="134">
        <v>44889</v>
      </c>
    </row>
    <row r="15" spans="1:6" ht="15" thickBot="1" x14ac:dyDescent="0.35">
      <c r="A15" s="130" t="s">
        <v>21</v>
      </c>
      <c r="B15" s="120" t="s">
        <v>193</v>
      </c>
      <c r="C15" s="121">
        <f>'PLANILHA ORÇAMENTÁRIA'!H22*0.1</f>
        <v>186.27648931061697</v>
      </c>
      <c r="D15" s="2" t="s">
        <v>184</v>
      </c>
      <c r="E15" s="122">
        <v>44890</v>
      </c>
      <c r="F15" s="123">
        <v>44890</v>
      </c>
    </row>
    <row r="16" spans="1:6" x14ac:dyDescent="0.3">
      <c r="A16" s="124">
        <v>3</v>
      </c>
      <c r="B16" s="125" t="s">
        <v>194</v>
      </c>
      <c r="C16" s="126">
        <f>SUM(C17:C17)</f>
        <v>153.48141178060411</v>
      </c>
      <c r="D16" s="127" t="s">
        <v>179</v>
      </c>
      <c r="E16" s="128">
        <f>E17</f>
        <v>44893</v>
      </c>
      <c r="F16" s="129">
        <f>F17</f>
        <v>44893</v>
      </c>
    </row>
    <row r="17" spans="1:6" ht="15" thickBot="1" x14ac:dyDescent="0.35">
      <c r="A17" s="119" t="s">
        <v>195</v>
      </c>
      <c r="B17" s="120" t="s">
        <v>196</v>
      </c>
      <c r="C17" s="121">
        <f>'PLANILHA ORÇAMENTÁRIA'!H9/2+'PLANILHA ORÇAMENTÁRIA'!H10/2</f>
        <v>153.48141178060411</v>
      </c>
      <c r="D17" s="2" t="s">
        <v>179</v>
      </c>
      <c r="E17" s="122">
        <v>44893</v>
      </c>
      <c r="F17" s="123">
        <v>44893</v>
      </c>
    </row>
  </sheetData>
  <phoneticPr fontId="6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112A-A121-4817-B54E-4E302E4C7AE5}">
  <dimension ref="A1:F12"/>
  <sheetViews>
    <sheetView zoomScale="85" zoomScaleNormal="85" workbookViewId="0">
      <selection activeCell="B28" sqref="B28"/>
    </sheetView>
  </sheetViews>
  <sheetFormatPr defaultRowHeight="13.8" x14ac:dyDescent="0.25"/>
  <cols>
    <col min="1" max="1" width="32.109375" style="46" customWidth="1"/>
    <col min="2" max="2" width="29.109375" style="46" bestFit="1" customWidth="1"/>
    <col min="3" max="3" width="79.6640625" style="46" bestFit="1" customWidth="1"/>
    <col min="4" max="4" width="9" style="46" customWidth="1"/>
    <col min="5" max="5" width="13.88671875" style="46" bestFit="1" customWidth="1"/>
    <col min="6" max="6" width="61.77734375" style="46" bestFit="1" customWidth="1"/>
    <col min="7" max="16384" width="8.88671875" style="46"/>
  </cols>
  <sheetData>
    <row r="1" spans="1:6" ht="19.95" customHeight="1" thickBot="1" x14ac:dyDescent="0.3">
      <c r="A1" s="202" t="s">
        <v>110</v>
      </c>
      <c r="B1" s="203"/>
      <c r="C1" s="203"/>
      <c r="D1" s="203"/>
      <c r="E1" s="203"/>
      <c r="F1" s="204"/>
    </row>
    <row r="2" spans="1:6" ht="19.95" customHeight="1" x14ac:dyDescent="0.25">
      <c r="A2" s="77" t="s">
        <v>50</v>
      </c>
      <c r="B2" s="82" t="s">
        <v>49</v>
      </c>
      <c r="C2" s="82" t="s">
        <v>47</v>
      </c>
      <c r="D2" s="82" t="s">
        <v>69</v>
      </c>
      <c r="E2" s="82" t="s">
        <v>48</v>
      </c>
      <c r="F2" s="78" t="s">
        <v>46</v>
      </c>
    </row>
    <row r="3" spans="1:6" ht="19.95" customHeight="1" x14ac:dyDescent="0.25">
      <c r="A3" s="49" t="s">
        <v>105</v>
      </c>
      <c r="B3" s="48" t="s">
        <v>103</v>
      </c>
      <c r="C3" s="48" t="s">
        <v>104</v>
      </c>
      <c r="D3" s="48" t="s">
        <v>89</v>
      </c>
      <c r="E3" s="50">
        <v>2200</v>
      </c>
      <c r="F3" s="51" t="s">
        <v>2</v>
      </c>
    </row>
    <row r="4" spans="1:6" ht="19.95" customHeight="1" x14ac:dyDescent="0.25">
      <c r="A4" s="49" t="s">
        <v>106</v>
      </c>
      <c r="B4" s="48" t="s">
        <v>96</v>
      </c>
      <c r="C4" s="48" t="s">
        <v>131</v>
      </c>
      <c r="D4" s="48" t="s">
        <v>90</v>
      </c>
      <c r="E4" s="50">
        <v>2.15</v>
      </c>
      <c r="F4" s="51" t="s">
        <v>2</v>
      </c>
    </row>
    <row r="5" spans="1:6" ht="19.95" customHeight="1" x14ac:dyDescent="0.25">
      <c r="A5" s="49" t="s">
        <v>107</v>
      </c>
      <c r="B5" s="48" t="s">
        <v>121</v>
      </c>
      <c r="C5" s="48" t="s">
        <v>127</v>
      </c>
      <c r="D5" s="48" t="s">
        <v>90</v>
      </c>
      <c r="E5" s="137">
        <v>264</v>
      </c>
      <c r="F5" s="51" t="s">
        <v>2</v>
      </c>
    </row>
    <row r="6" spans="1:6" ht="19.95" customHeight="1" x14ac:dyDescent="0.25">
      <c r="A6" s="49" t="s">
        <v>108</v>
      </c>
      <c r="B6" s="48" t="s">
        <v>120</v>
      </c>
      <c r="C6" s="48" t="s">
        <v>134</v>
      </c>
      <c r="D6" s="48" t="s">
        <v>89</v>
      </c>
      <c r="E6" s="50">
        <v>10</v>
      </c>
      <c r="F6" s="51" t="s">
        <v>2</v>
      </c>
    </row>
    <row r="7" spans="1:6" ht="19.95" customHeight="1" x14ac:dyDescent="0.25">
      <c r="A7" s="49" t="s">
        <v>108</v>
      </c>
      <c r="B7" s="48" t="s">
        <v>120</v>
      </c>
      <c r="C7" s="48" t="s">
        <v>135</v>
      </c>
      <c r="D7" s="48" t="s">
        <v>89</v>
      </c>
      <c r="E7" s="50">
        <v>1.2</v>
      </c>
      <c r="F7" s="51" t="s">
        <v>2</v>
      </c>
    </row>
    <row r="8" spans="1:6" ht="19.95" customHeight="1" x14ac:dyDescent="0.25">
      <c r="A8" s="49" t="s">
        <v>109</v>
      </c>
      <c r="B8" s="48" t="s">
        <v>100</v>
      </c>
      <c r="C8" s="48" t="s">
        <v>92</v>
      </c>
      <c r="D8" s="48" t="s">
        <v>88</v>
      </c>
      <c r="E8" s="50">
        <v>310</v>
      </c>
      <c r="F8" s="51" t="s">
        <v>2</v>
      </c>
    </row>
    <row r="9" spans="1:6" ht="19.95" customHeight="1" thickBot="1" x14ac:dyDescent="0.3">
      <c r="A9" s="71" t="s">
        <v>109</v>
      </c>
      <c r="B9" s="52" t="s">
        <v>100</v>
      </c>
      <c r="C9" s="52" t="s">
        <v>132</v>
      </c>
      <c r="D9" s="52" t="s">
        <v>117</v>
      </c>
      <c r="E9" s="73">
        <v>450</v>
      </c>
      <c r="F9" s="72" t="s">
        <v>2</v>
      </c>
    </row>
    <row r="12" spans="1:6" s="53" customFormat="1" x14ac:dyDescent="0.25"/>
  </sheetData>
  <mergeCells count="1">
    <mergeCell ref="A1:F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EF1D-832C-426E-A3D9-836980A4A400}">
  <dimension ref="A1:H39"/>
  <sheetViews>
    <sheetView zoomScale="90" zoomScaleNormal="90" workbookViewId="0">
      <selection activeCell="F15" sqref="F15"/>
    </sheetView>
  </sheetViews>
  <sheetFormatPr defaultRowHeight="13.8" x14ac:dyDescent="0.25"/>
  <cols>
    <col min="1" max="1" width="89.109375" style="70" bestFit="1" customWidth="1"/>
    <col min="2" max="2" width="30.21875" style="46" bestFit="1" customWidth="1"/>
    <col min="3" max="3" width="7" style="46" customWidth="1"/>
    <col min="4" max="4" width="13.88671875" style="46" bestFit="1" customWidth="1"/>
    <col min="5" max="5" width="43.21875" style="46" bestFit="1" customWidth="1"/>
    <col min="6" max="7" width="8.88671875" style="46"/>
    <col min="8" max="8" width="36.5546875" style="46" bestFit="1" customWidth="1"/>
    <col min="9" max="16384" width="8.88671875" style="46"/>
  </cols>
  <sheetData>
    <row r="1" spans="1:8" ht="16.2" thickBot="1" x14ac:dyDescent="0.35">
      <c r="A1" s="205" t="s">
        <v>93</v>
      </c>
      <c r="B1" s="206"/>
      <c r="C1" s="206"/>
      <c r="D1" s="206"/>
      <c r="E1" s="207"/>
    </row>
    <row r="2" spans="1:8" s="18" customFormat="1" ht="18" customHeight="1" x14ac:dyDescent="0.3">
      <c r="A2" s="215" t="s">
        <v>111</v>
      </c>
      <c r="B2" s="216"/>
      <c r="C2" s="216"/>
      <c r="D2" s="216"/>
      <c r="E2" s="217"/>
      <c r="G2" s="189" t="s">
        <v>114</v>
      </c>
      <c r="H2" s="214"/>
    </row>
    <row r="3" spans="1:8" s="18" customFormat="1" ht="18" customHeight="1" thickBot="1" x14ac:dyDescent="0.35">
      <c r="A3" s="65" t="s">
        <v>115</v>
      </c>
      <c r="B3" s="54" t="s">
        <v>49</v>
      </c>
      <c r="C3" s="54" t="s">
        <v>94</v>
      </c>
      <c r="D3" s="54" t="s">
        <v>48</v>
      </c>
      <c r="E3" s="55" t="s">
        <v>98</v>
      </c>
      <c r="G3" s="64"/>
      <c r="H3" s="60" t="s">
        <v>116</v>
      </c>
    </row>
    <row r="4" spans="1:8" s="18" customFormat="1" ht="18" customHeight="1" x14ac:dyDescent="0.3">
      <c r="A4" s="66" t="s">
        <v>104</v>
      </c>
      <c r="B4" s="47" t="s">
        <v>103</v>
      </c>
      <c r="C4" s="47" t="s">
        <v>94</v>
      </c>
      <c r="D4" s="56">
        <v>2200</v>
      </c>
      <c r="E4" s="57" t="s">
        <v>143</v>
      </c>
    </row>
    <row r="5" spans="1:8" s="18" customFormat="1" ht="18" customHeight="1" x14ac:dyDescent="0.3">
      <c r="A5" s="67" t="s">
        <v>51</v>
      </c>
      <c r="B5" s="48" t="s">
        <v>99</v>
      </c>
      <c r="C5" s="48" t="s">
        <v>94</v>
      </c>
      <c r="D5" s="58">
        <v>3500</v>
      </c>
      <c r="E5" s="59" t="s">
        <v>144</v>
      </c>
    </row>
    <row r="6" spans="1:8" s="18" customFormat="1" ht="18" customHeight="1" thickBot="1" x14ac:dyDescent="0.35">
      <c r="A6" s="67" t="s">
        <v>51</v>
      </c>
      <c r="B6" s="52" t="s">
        <v>160</v>
      </c>
      <c r="C6" s="52" t="s">
        <v>94</v>
      </c>
      <c r="D6" s="89">
        <v>2995</v>
      </c>
      <c r="E6" s="60" t="s">
        <v>159</v>
      </c>
    </row>
    <row r="7" spans="1:8" s="18" customFormat="1" ht="18" customHeight="1" x14ac:dyDescent="0.3">
      <c r="A7" s="208" t="s">
        <v>112</v>
      </c>
      <c r="B7" s="209"/>
      <c r="C7" s="209"/>
      <c r="D7" s="209"/>
      <c r="E7" s="210"/>
    </row>
    <row r="8" spans="1:8" s="18" customFormat="1" ht="18" customHeight="1" x14ac:dyDescent="0.3">
      <c r="A8" s="65" t="s">
        <v>115</v>
      </c>
      <c r="B8" s="54" t="s">
        <v>49</v>
      </c>
      <c r="C8" s="54" t="s">
        <v>94</v>
      </c>
      <c r="D8" s="54" t="s">
        <v>48</v>
      </c>
      <c r="E8" s="55" t="s">
        <v>98</v>
      </c>
    </row>
    <row r="9" spans="1:8" s="18" customFormat="1" ht="18" customHeight="1" x14ac:dyDescent="0.3">
      <c r="A9" s="67" t="s">
        <v>150</v>
      </c>
      <c r="B9" s="48" t="s">
        <v>95</v>
      </c>
      <c r="C9" s="48" t="s">
        <v>90</v>
      </c>
      <c r="D9" s="58">
        <f>139/60</f>
        <v>2.3166666666666669</v>
      </c>
      <c r="E9" s="59" t="s">
        <v>141</v>
      </c>
    </row>
    <row r="10" spans="1:8" s="18" customFormat="1" ht="18" customHeight="1" x14ac:dyDescent="0.3">
      <c r="A10" s="66" t="s">
        <v>151</v>
      </c>
      <c r="B10" s="47" t="s">
        <v>96</v>
      </c>
      <c r="C10" s="47" t="s">
        <v>90</v>
      </c>
      <c r="D10" s="56">
        <f>129/60</f>
        <v>2.15</v>
      </c>
      <c r="E10" s="57" t="s">
        <v>139</v>
      </c>
    </row>
    <row r="11" spans="1:8" s="18" customFormat="1" ht="18" customHeight="1" thickBot="1" x14ac:dyDescent="0.35">
      <c r="A11" s="68" t="s">
        <v>152</v>
      </c>
      <c r="B11" s="52" t="s">
        <v>140</v>
      </c>
      <c r="C11" s="52" t="s">
        <v>90</v>
      </c>
      <c r="D11" s="89">
        <f>39.9/12</f>
        <v>3.3249999999999997</v>
      </c>
      <c r="E11" s="60" t="s">
        <v>142</v>
      </c>
    </row>
    <row r="12" spans="1:8" s="18" customFormat="1" ht="18" customHeight="1" x14ac:dyDescent="0.3">
      <c r="A12" s="215" t="s">
        <v>119</v>
      </c>
      <c r="B12" s="216"/>
      <c r="C12" s="216"/>
      <c r="D12" s="216"/>
      <c r="E12" s="217"/>
    </row>
    <row r="13" spans="1:8" s="18" customFormat="1" ht="18" customHeight="1" x14ac:dyDescent="0.3">
      <c r="A13" s="65" t="s">
        <v>115</v>
      </c>
      <c r="B13" s="54" t="s">
        <v>49</v>
      </c>
      <c r="C13" s="54" t="s">
        <v>94</v>
      </c>
      <c r="D13" s="54" t="s">
        <v>48</v>
      </c>
      <c r="E13" s="55" t="s">
        <v>98</v>
      </c>
    </row>
    <row r="14" spans="1:8" s="18" customFormat="1" ht="18" customHeight="1" x14ac:dyDescent="0.3">
      <c r="A14" s="67" t="s">
        <v>148</v>
      </c>
      <c r="B14" s="48" t="s">
        <v>118</v>
      </c>
      <c r="C14" s="48" t="s">
        <v>90</v>
      </c>
      <c r="D14" s="58">
        <v>375.72</v>
      </c>
      <c r="E14" s="59" t="s">
        <v>145</v>
      </c>
    </row>
    <row r="15" spans="1:8" s="18" customFormat="1" ht="18" customHeight="1" x14ac:dyDescent="0.3">
      <c r="A15" s="66" t="s">
        <v>198</v>
      </c>
      <c r="B15" s="47" t="s">
        <v>121</v>
      </c>
      <c r="C15" s="47" t="s">
        <v>90</v>
      </c>
      <c r="D15" s="56">
        <v>264</v>
      </c>
      <c r="E15" s="57" t="s">
        <v>146</v>
      </c>
    </row>
    <row r="16" spans="1:8" s="18" customFormat="1" ht="18" customHeight="1" thickBot="1" x14ac:dyDescent="0.35">
      <c r="A16" s="68" t="s">
        <v>149</v>
      </c>
      <c r="B16" s="52" t="s">
        <v>120</v>
      </c>
      <c r="C16" s="52" t="s">
        <v>90</v>
      </c>
      <c r="D16" s="89">
        <v>336.59</v>
      </c>
      <c r="E16" s="60" t="s">
        <v>147</v>
      </c>
    </row>
    <row r="17" spans="1:5" s="18" customFormat="1" ht="18" customHeight="1" x14ac:dyDescent="0.3">
      <c r="A17" s="208" t="s">
        <v>129</v>
      </c>
      <c r="B17" s="209"/>
      <c r="C17" s="209"/>
      <c r="D17" s="209"/>
      <c r="E17" s="210"/>
    </row>
    <row r="18" spans="1:5" s="18" customFormat="1" ht="18" customHeight="1" x14ac:dyDescent="0.3">
      <c r="A18" s="65" t="s">
        <v>115</v>
      </c>
      <c r="B18" s="54" t="s">
        <v>49</v>
      </c>
      <c r="C18" s="54" t="s">
        <v>94</v>
      </c>
      <c r="D18" s="54" t="s">
        <v>48</v>
      </c>
      <c r="E18" s="55" t="s">
        <v>98</v>
      </c>
    </row>
    <row r="19" spans="1:5" s="18" customFormat="1" ht="18" customHeight="1" x14ac:dyDescent="0.3">
      <c r="A19" s="67" t="s">
        <v>153</v>
      </c>
      <c r="B19" s="48" t="s">
        <v>118</v>
      </c>
      <c r="C19" s="48" t="s">
        <v>89</v>
      </c>
      <c r="D19" s="58">
        <f>98/6</f>
        <v>16.333333333333332</v>
      </c>
      <c r="E19" s="59" t="s">
        <v>145</v>
      </c>
    </row>
    <row r="20" spans="1:5" s="18" customFormat="1" ht="18" customHeight="1" x14ac:dyDescent="0.3">
      <c r="A20" s="67" t="s">
        <v>154</v>
      </c>
      <c r="B20" s="48" t="s">
        <v>121</v>
      </c>
      <c r="C20" s="48" t="s">
        <v>89</v>
      </c>
      <c r="D20" s="75">
        <f>85/6</f>
        <v>14.166666666666666</v>
      </c>
      <c r="E20" s="59" t="s">
        <v>146</v>
      </c>
    </row>
    <row r="21" spans="1:5" s="18" customFormat="1" ht="18" customHeight="1" thickBot="1" x14ac:dyDescent="0.35">
      <c r="A21" s="69" t="s">
        <v>155</v>
      </c>
      <c r="B21" s="61" t="s">
        <v>120</v>
      </c>
      <c r="C21" s="61" t="s">
        <v>89</v>
      </c>
      <c r="D21" s="62">
        <f>60/6</f>
        <v>10</v>
      </c>
      <c r="E21" s="63" t="s">
        <v>147</v>
      </c>
    </row>
    <row r="22" spans="1:5" s="18" customFormat="1" ht="18" customHeight="1" x14ac:dyDescent="0.3">
      <c r="A22" s="208" t="s">
        <v>130</v>
      </c>
      <c r="B22" s="209"/>
      <c r="C22" s="209"/>
      <c r="D22" s="209"/>
      <c r="E22" s="210"/>
    </row>
    <row r="23" spans="1:5" s="18" customFormat="1" ht="18" customHeight="1" x14ac:dyDescent="0.3">
      <c r="A23" s="65" t="s">
        <v>115</v>
      </c>
      <c r="B23" s="54" t="s">
        <v>49</v>
      </c>
      <c r="C23" s="54" t="s">
        <v>94</v>
      </c>
      <c r="D23" s="54" t="s">
        <v>48</v>
      </c>
      <c r="E23" s="55" t="s">
        <v>98</v>
      </c>
    </row>
    <row r="24" spans="1:5" s="18" customFormat="1" ht="18" customHeight="1" x14ac:dyDescent="0.3">
      <c r="A24" s="67" t="s">
        <v>157</v>
      </c>
      <c r="B24" s="48" t="s">
        <v>118</v>
      </c>
      <c r="C24" s="48" t="s">
        <v>89</v>
      </c>
      <c r="D24" s="75">
        <f>98/6</f>
        <v>16.333333333333332</v>
      </c>
      <c r="E24" s="59" t="s">
        <v>145</v>
      </c>
    </row>
    <row r="25" spans="1:5" s="18" customFormat="1" ht="18" customHeight="1" x14ac:dyDescent="0.3">
      <c r="A25" s="67" t="s">
        <v>158</v>
      </c>
      <c r="B25" s="48" t="s">
        <v>121</v>
      </c>
      <c r="C25" s="48" t="s">
        <v>89</v>
      </c>
      <c r="D25" s="75">
        <f>140/48</f>
        <v>2.9166666666666665</v>
      </c>
      <c r="E25" s="59" t="s">
        <v>146</v>
      </c>
    </row>
    <row r="26" spans="1:5" s="18" customFormat="1" ht="18" customHeight="1" thickBot="1" x14ac:dyDescent="0.35">
      <c r="A26" s="69" t="s">
        <v>156</v>
      </c>
      <c r="B26" s="61" t="s">
        <v>120</v>
      </c>
      <c r="C26" s="61" t="s">
        <v>89</v>
      </c>
      <c r="D26" s="62">
        <v>1.2</v>
      </c>
      <c r="E26" s="63" t="s">
        <v>147</v>
      </c>
    </row>
    <row r="27" spans="1:5" s="18" customFormat="1" ht="18" customHeight="1" x14ac:dyDescent="0.3">
      <c r="A27" s="211" t="s">
        <v>113</v>
      </c>
      <c r="B27" s="212"/>
      <c r="C27" s="212"/>
      <c r="D27" s="212"/>
      <c r="E27" s="213"/>
    </row>
    <row r="28" spans="1:5" s="18" customFormat="1" ht="18" customHeight="1" x14ac:dyDescent="0.3">
      <c r="A28" s="65" t="s">
        <v>115</v>
      </c>
      <c r="B28" s="54" t="s">
        <v>49</v>
      </c>
      <c r="C28" s="54" t="s">
        <v>94</v>
      </c>
      <c r="D28" s="54" t="s">
        <v>48</v>
      </c>
      <c r="E28" s="55" t="s">
        <v>98</v>
      </c>
    </row>
    <row r="29" spans="1:5" s="18" customFormat="1" ht="18" customHeight="1" x14ac:dyDescent="0.3">
      <c r="A29" s="66" t="s">
        <v>166</v>
      </c>
      <c r="B29" s="47" t="s">
        <v>100</v>
      </c>
      <c r="C29" s="47" t="s">
        <v>94</v>
      </c>
      <c r="D29" s="56">
        <v>310</v>
      </c>
      <c r="E29" s="57" t="s">
        <v>161</v>
      </c>
    </row>
    <row r="30" spans="1:5" s="18" customFormat="1" ht="18" customHeight="1" x14ac:dyDescent="0.3">
      <c r="A30" s="67" t="s">
        <v>92</v>
      </c>
      <c r="B30" s="90" t="s">
        <v>101</v>
      </c>
      <c r="C30" s="48" t="s">
        <v>94</v>
      </c>
      <c r="D30" s="75">
        <v>330</v>
      </c>
      <c r="E30" s="59" t="s">
        <v>162</v>
      </c>
    </row>
    <row r="31" spans="1:5" s="18" customFormat="1" ht="18" customHeight="1" thickBot="1" x14ac:dyDescent="0.35">
      <c r="A31" s="93" t="s">
        <v>102</v>
      </c>
      <c r="B31" s="90" t="s">
        <v>97</v>
      </c>
      <c r="C31" s="90" t="s">
        <v>94</v>
      </c>
      <c r="D31" s="91">
        <v>250</v>
      </c>
      <c r="E31" s="92" t="s">
        <v>163</v>
      </c>
    </row>
    <row r="32" spans="1:5" s="18" customFormat="1" ht="18" customHeight="1" x14ac:dyDescent="0.3">
      <c r="A32" s="208" t="s">
        <v>138</v>
      </c>
      <c r="B32" s="209"/>
      <c r="C32" s="209"/>
      <c r="D32" s="209"/>
      <c r="E32" s="210"/>
    </row>
    <row r="33" spans="1:5" s="18" customFormat="1" ht="18" customHeight="1" x14ac:dyDescent="0.3">
      <c r="A33" s="65" t="s">
        <v>115</v>
      </c>
      <c r="B33" s="54" t="s">
        <v>49</v>
      </c>
      <c r="C33" s="54" t="s">
        <v>94</v>
      </c>
      <c r="D33" s="54" t="s">
        <v>48</v>
      </c>
      <c r="E33" s="55" t="s">
        <v>98</v>
      </c>
    </row>
    <row r="34" spans="1:5" s="18" customFormat="1" ht="18" customHeight="1" x14ac:dyDescent="0.3">
      <c r="A34" s="66" t="s">
        <v>164</v>
      </c>
      <c r="B34" s="47" t="s">
        <v>100</v>
      </c>
      <c r="C34" s="47" t="s">
        <v>117</v>
      </c>
      <c r="D34" s="56">
        <v>450</v>
      </c>
      <c r="E34" s="57" t="s">
        <v>161</v>
      </c>
    </row>
    <row r="35" spans="1:5" s="18" customFormat="1" ht="18" customHeight="1" x14ac:dyDescent="0.3">
      <c r="A35" s="67" t="s">
        <v>165</v>
      </c>
      <c r="B35" s="90" t="s">
        <v>101</v>
      </c>
      <c r="C35" s="48" t="s">
        <v>117</v>
      </c>
      <c r="D35" s="75">
        <v>800</v>
      </c>
      <c r="E35" s="59" t="s">
        <v>162</v>
      </c>
    </row>
    <row r="36" spans="1:5" s="18" customFormat="1" ht="18" customHeight="1" thickBot="1" x14ac:dyDescent="0.35">
      <c r="A36" s="68" t="s">
        <v>164</v>
      </c>
      <c r="B36" s="52" t="s">
        <v>97</v>
      </c>
      <c r="C36" s="52" t="s">
        <v>117</v>
      </c>
      <c r="D36" s="89">
        <v>1450</v>
      </c>
      <c r="E36" s="60" t="s">
        <v>163</v>
      </c>
    </row>
    <row r="37" spans="1:5" ht="14.4" thickBot="1" x14ac:dyDescent="0.3"/>
    <row r="38" spans="1:5" ht="41.4" customHeight="1" thickBot="1" x14ac:dyDescent="0.3">
      <c r="A38" s="95" t="s">
        <v>167</v>
      </c>
      <c r="B38" s="94"/>
    </row>
    <row r="39" spans="1:5" x14ac:dyDescent="0.25">
      <c r="A39" s="94"/>
      <c r="B39" s="94"/>
    </row>
  </sheetData>
  <mergeCells count="9">
    <mergeCell ref="A1:E1"/>
    <mergeCell ref="A22:E22"/>
    <mergeCell ref="A27:E27"/>
    <mergeCell ref="A32:E32"/>
    <mergeCell ref="G2:H2"/>
    <mergeCell ref="A2:E2"/>
    <mergeCell ref="A7:E7"/>
    <mergeCell ref="A12:E12"/>
    <mergeCell ref="A17:E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 ORÇAMENTÁRIA</vt:lpstr>
      <vt:lpstr>CÁLCULO BDI</vt:lpstr>
      <vt:lpstr>CRONOGRAMA</vt:lpstr>
      <vt:lpstr>ESTRUTURA ORÇ. COMPLEMENTAR</vt:lpstr>
      <vt:lpstr>COTAÇÕES P. ORÇ COMPLEMENTAR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klemba</dc:creator>
  <cp:lastModifiedBy>Jean O. Gonçalves</cp:lastModifiedBy>
  <cp:lastPrinted>2021-11-15T19:18:38Z</cp:lastPrinted>
  <dcterms:created xsi:type="dcterms:W3CDTF">2021-09-10T13:30:47Z</dcterms:created>
  <dcterms:modified xsi:type="dcterms:W3CDTF">2022-09-15T13:00:32Z</dcterms:modified>
</cp:coreProperties>
</file>